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DPASCO\00-DPASCO_1\AESH_guide academique\Guide AESH janvier 2025\Annexes du guide\"/>
    </mc:Choice>
  </mc:AlternateContent>
  <xr:revisionPtr revIDLastSave="0" documentId="13_ncr:1_{9DCD3B12-9D3B-41F2-9706-A033B0A5BAF3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AESH" sheetId="1" r:id="rId1"/>
    <sheet name="emploi du temps connexes" sheetId="4" r:id="rId2"/>
    <sheet name="tableau des quotité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5" l="1"/>
  <c r="K10" i="5"/>
  <c r="G10" i="5"/>
  <c r="E10" i="5"/>
  <c r="Q10" i="5" s="1"/>
  <c r="C10" i="5"/>
  <c r="B10" i="5"/>
  <c r="M7" i="5"/>
  <c r="M8" i="5"/>
  <c r="M11" i="5"/>
  <c r="M12" i="5"/>
  <c r="M13" i="5"/>
  <c r="M16" i="5"/>
  <c r="M17" i="5"/>
  <c r="M18" i="5"/>
  <c r="M21" i="5"/>
  <c r="M22" i="5"/>
  <c r="M25" i="5"/>
  <c r="I7" i="5"/>
  <c r="I8" i="5"/>
  <c r="I9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E7" i="5"/>
  <c r="Q7" i="5" s="1"/>
  <c r="E8" i="5"/>
  <c r="Q8" i="5" s="1"/>
  <c r="E9" i="5"/>
  <c r="Q9" i="5" s="1"/>
  <c r="E11" i="5"/>
  <c r="E12" i="5"/>
  <c r="Q12" i="5" s="1"/>
  <c r="E13" i="5"/>
  <c r="E14" i="5"/>
  <c r="E15" i="5"/>
  <c r="E16" i="5"/>
  <c r="E17" i="5"/>
  <c r="Q17" i="5" s="1"/>
  <c r="E18" i="5"/>
  <c r="Q18" i="5" s="1"/>
  <c r="E19" i="5"/>
  <c r="Q19" i="5" s="1"/>
  <c r="E20" i="5"/>
  <c r="Q20" i="5" s="1"/>
  <c r="E21" i="5"/>
  <c r="Q21" i="5" s="1"/>
  <c r="E22" i="5"/>
  <c r="Q22" i="5" s="1"/>
  <c r="E23" i="5"/>
  <c r="E24" i="5"/>
  <c r="Q24" i="5" s="1"/>
  <c r="E25" i="5"/>
  <c r="O25" i="5"/>
  <c r="Q16" i="5" l="1"/>
  <c r="Q15" i="5"/>
  <c r="Q14" i="5"/>
  <c r="Q25" i="5"/>
  <c r="Q13" i="5"/>
  <c r="Q23" i="5"/>
  <c r="Q11" i="5"/>
  <c r="F10" i="5"/>
  <c r="J10" i="5" s="1"/>
  <c r="K25" i="5"/>
  <c r="G25" i="5"/>
  <c r="F25" i="5"/>
  <c r="N25" i="5" s="1"/>
  <c r="O24" i="5"/>
  <c r="K24" i="5"/>
  <c r="G24" i="5"/>
  <c r="C24" i="5"/>
  <c r="B24" i="5"/>
  <c r="O23" i="5"/>
  <c r="K23" i="5"/>
  <c r="G23" i="5"/>
  <c r="C23" i="5"/>
  <c r="B23" i="5"/>
  <c r="O22" i="5"/>
  <c r="K22" i="5"/>
  <c r="G22" i="5"/>
  <c r="C22" i="5"/>
  <c r="B22" i="5"/>
  <c r="O21" i="5"/>
  <c r="K21" i="5"/>
  <c r="G21" i="5"/>
  <c r="C21" i="5"/>
  <c r="B21" i="5"/>
  <c r="O20" i="5"/>
  <c r="K20" i="5"/>
  <c r="G20" i="5"/>
  <c r="C20" i="5"/>
  <c r="B20" i="5"/>
  <c r="O19" i="5"/>
  <c r="K19" i="5"/>
  <c r="G19" i="5"/>
  <c r="C19" i="5"/>
  <c r="B19" i="5"/>
  <c r="O18" i="5"/>
  <c r="K18" i="5"/>
  <c r="G18" i="5"/>
  <c r="C18" i="5"/>
  <c r="B18" i="5"/>
  <c r="O17" i="5"/>
  <c r="K17" i="5"/>
  <c r="G17" i="5"/>
  <c r="C17" i="5"/>
  <c r="B17" i="5"/>
  <c r="O16" i="5"/>
  <c r="K16" i="5"/>
  <c r="G16" i="5"/>
  <c r="C16" i="5"/>
  <c r="B16" i="5"/>
  <c r="O15" i="5"/>
  <c r="K15" i="5"/>
  <c r="G15" i="5"/>
  <c r="C15" i="5"/>
  <c r="B15" i="5"/>
  <c r="O14" i="5"/>
  <c r="K14" i="5"/>
  <c r="G14" i="5"/>
  <c r="C14" i="5"/>
  <c r="B14" i="5"/>
  <c r="O13" i="5"/>
  <c r="K13" i="5"/>
  <c r="G13" i="5"/>
  <c r="C13" i="5"/>
  <c r="B13" i="5"/>
  <c r="O12" i="5"/>
  <c r="K12" i="5"/>
  <c r="G12" i="5"/>
  <c r="C12" i="5"/>
  <c r="B12" i="5"/>
  <c r="O11" i="5"/>
  <c r="K11" i="5"/>
  <c r="G11" i="5"/>
  <c r="C11" i="5"/>
  <c r="B11" i="5"/>
  <c r="O9" i="5"/>
  <c r="K9" i="5"/>
  <c r="G9" i="5"/>
  <c r="C9" i="5"/>
  <c r="B9" i="5"/>
  <c r="O8" i="5"/>
  <c r="K8" i="5"/>
  <c r="G8" i="5"/>
  <c r="C8" i="5"/>
  <c r="B8" i="5"/>
  <c r="O7" i="5"/>
  <c r="K7" i="5"/>
  <c r="G7" i="5"/>
  <c r="C7" i="5"/>
  <c r="B7" i="5"/>
  <c r="N10" i="5" l="1"/>
  <c r="F7" i="5"/>
  <c r="J7" i="5" s="1"/>
  <c r="F8" i="5"/>
  <c r="J8" i="5" s="1"/>
  <c r="F9" i="5"/>
  <c r="J9" i="5" s="1"/>
  <c r="F11" i="5"/>
  <c r="J11" i="5" s="1"/>
  <c r="F12" i="5"/>
  <c r="J12" i="5" s="1"/>
  <c r="F13" i="5"/>
  <c r="J13" i="5" s="1"/>
  <c r="F14" i="5"/>
  <c r="J14" i="5" s="1"/>
  <c r="F15" i="5"/>
  <c r="J15" i="5" s="1"/>
  <c r="F16" i="5"/>
  <c r="J16" i="5" s="1"/>
  <c r="F17" i="5"/>
  <c r="J17" i="5" s="1"/>
  <c r="F18" i="5"/>
  <c r="J18" i="5" s="1"/>
  <c r="F19" i="5"/>
  <c r="J19" i="5" s="1"/>
  <c r="F20" i="5"/>
  <c r="J20" i="5" s="1"/>
  <c r="F21" i="5"/>
  <c r="J21" i="5" s="1"/>
  <c r="F22" i="5"/>
  <c r="J22" i="5" s="1"/>
  <c r="F23" i="5"/>
  <c r="J23" i="5" s="1"/>
  <c r="F24" i="5"/>
  <c r="J24" i="5" s="1"/>
  <c r="J25" i="5"/>
  <c r="N23" i="5" l="1"/>
  <c r="N19" i="5"/>
  <c r="N15" i="5"/>
  <c r="N11" i="5"/>
  <c r="N22" i="5"/>
  <c r="N18" i="5"/>
  <c r="N14" i="5"/>
  <c r="N9" i="5"/>
  <c r="N24" i="5"/>
  <c r="N20" i="5"/>
  <c r="N16" i="5"/>
  <c r="N12" i="5"/>
  <c r="N7" i="5"/>
  <c r="N21" i="5"/>
  <c r="N17" i="5"/>
  <c r="N13" i="5"/>
  <c r="N8" i="5"/>
  <c r="D4" i="4" l="1"/>
  <c r="B4" i="4"/>
  <c r="B3" i="4"/>
  <c r="D35" i="4" l="1"/>
  <c r="C35" i="4"/>
  <c r="C36" i="4" s="1"/>
  <c r="B8" i="4" s="1"/>
  <c r="B9" i="4" s="1"/>
</calcChain>
</file>

<file path=xl/sharedStrings.xml><?xml version="1.0" encoding="utf-8"?>
<sst xmlns="http://schemas.openxmlformats.org/spreadsheetml/2006/main" count="41" uniqueCount="39">
  <si>
    <t>NOM et prénom de l'AESH :</t>
  </si>
  <si>
    <t>Quotité de travail du contrat :</t>
  </si>
  <si>
    <t>Ecole X</t>
  </si>
  <si>
    <t>Ecole Y</t>
  </si>
  <si>
    <t>ANNÉE SCOLAIRE :</t>
  </si>
  <si>
    <t>DUPONT Olivier</t>
  </si>
  <si>
    <t>Type d'activité</t>
  </si>
  <si>
    <t>Réunion</t>
  </si>
  <si>
    <t>Formation</t>
  </si>
  <si>
    <t>Activité préparatoire</t>
  </si>
  <si>
    <t>Participation à l’équipe de suivi de la scolarisation (ESS)</t>
  </si>
  <si>
    <t>Conseils de classe, d'école/collège</t>
  </si>
  <si>
    <t>TOTAL</t>
  </si>
  <si>
    <t>Date</t>
  </si>
  <si>
    <t>Nombre d'heures d'activités connexes réalisées :</t>
  </si>
  <si>
    <t xml:space="preserve">Quotité de travail du contrat : </t>
  </si>
  <si>
    <t>Total horaires des activités connexes réalisées en application des heures prévues au contrat</t>
  </si>
  <si>
    <t>Reliquat d'heures:</t>
  </si>
  <si>
    <t>HEURES EFFECTUÉES EN ACTIVITÉS CONNEXES ET COMPLÉMENTAIRES</t>
  </si>
  <si>
    <t>Cellules bleues à compléter</t>
  </si>
  <si>
    <t>du</t>
  </si>
  <si>
    <t>au</t>
  </si>
  <si>
    <t>Participation à un entretien conduit par l’enseignant avec les parents ou responsables légaux</t>
  </si>
  <si>
    <t>TEMPS DE TRAVAIL EFFECTIF (heures/minutes)</t>
  </si>
  <si>
    <t>Période concernée : du</t>
  </si>
  <si>
    <t xml:space="preserve">Période concernée : </t>
  </si>
  <si>
    <t>137 h</t>
  </si>
  <si>
    <t>TABLEAU DE CONVERSION DES QUOTITES HORAIRES DES AESH</t>
  </si>
  <si>
    <t>Quotité</t>
  </si>
  <si>
    <t>Nbre d’heures effectives annuelles</t>
  </si>
  <si>
    <r>
      <t xml:space="preserve">Dont Heures annuelles </t>
    </r>
    <r>
      <rPr>
        <b/>
        <sz val="11"/>
        <color rgb="FFFF0000"/>
        <rFont val="Calibri"/>
        <family val="2"/>
        <scheme val="minor"/>
      </rPr>
      <t>présences élèves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</si>
  <si>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Nbre d’heures effectives hebdomadaires 
</t>
    </r>
    <r>
      <rPr>
        <b/>
        <sz val="11"/>
        <color rgb="FFFF0000"/>
        <rFont val="Calibri"/>
        <family val="2"/>
        <scheme val="minor"/>
      </rPr>
      <t xml:space="preserve">présences élèves </t>
    </r>
  </si>
  <si>
    <r>
      <t xml:space="preserve">Dont Heures annuelles </t>
    </r>
    <r>
      <rPr>
        <b/>
        <sz val="11"/>
        <color rgb="FFFF0000"/>
        <rFont val="Calibri"/>
        <family val="2"/>
        <scheme val="minor"/>
      </rPr>
      <t>activités connexes</t>
    </r>
  </si>
  <si>
    <r>
      <t xml:space="preserve">Nre d'heures d'activités connexes prévues au contrat par rapport à la quotité de travail : 
</t>
    </r>
    <r>
      <rPr>
        <b/>
        <sz val="9"/>
        <color rgb="FFC00000"/>
        <rFont val="Calibri"/>
        <family val="2"/>
        <scheme val="minor"/>
      </rPr>
      <t>(taper au format 00:00 ; exemple : 137:00)</t>
    </r>
  </si>
  <si>
    <t>Accompagnant des Elèves en Situation de Handicap (AESH)</t>
  </si>
  <si>
    <t>Nbre d'heures d'activités connexes prévues dans le contrat :</t>
  </si>
  <si>
    <t>2024 / 2025</t>
  </si>
  <si>
    <r>
      <t xml:space="preserve">         </t>
    </r>
    <r>
      <rPr>
        <sz val="11"/>
        <color theme="1"/>
        <rFont val="Calibri"/>
        <family val="2"/>
      </rPr>
      <t>24          33          40          47          64</t>
    </r>
  </si>
  <si>
    <t xml:space="preserve">Préciser le département d'affectation 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</si>
</sst>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h]:mm"/>
    <numFmt numFmtId="165" formatCode="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2" borderId="3" xfId="0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4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4" fontId="0" fillId="2" borderId="3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0" fillId="3" borderId="3" xfId="0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1" fillId="0" borderId="3" xfId="0" applyFont="1" applyBorder="1" applyAlignment="1">
      <alignment horizontal="center" vertical="center" wrapText="1"/>
    </xf>
    <xf numFmtId="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right" vertical="center" wrapText="1"/>
    </xf>
    <xf numFmtId="165" fontId="0" fillId="0" borderId="3" xfId="0" applyNumberFormat="1" applyFont="1" applyBorder="1"/>
    <xf numFmtId="4" fontId="0" fillId="5" borderId="3" xfId="0" applyNumberFormat="1" applyFont="1" applyFill="1" applyBorder="1"/>
    <xf numFmtId="165" fontId="0" fillId="0" borderId="3" xfId="0" applyNumberFormat="1" applyFont="1" applyBorder="1" applyAlignment="1">
      <alignment horizontal="right" vertical="center" wrapText="1"/>
    </xf>
    <xf numFmtId="4" fontId="0" fillId="6" borderId="3" xfId="0" applyNumberFormat="1" applyFont="1" applyFill="1" applyBorder="1" applyAlignment="1">
      <alignment horizontal="right" vertical="center" wrapText="1"/>
    </xf>
    <xf numFmtId="4" fontId="0" fillId="4" borderId="3" xfId="0" applyNumberFormat="1" applyFont="1" applyFill="1" applyBorder="1" applyAlignment="1">
      <alignment horizontal="right" vertical="center" wrapText="1"/>
    </xf>
    <xf numFmtId="165" fontId="0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3" fontId="0" fillId="5" borderId="3" xfId="0" applyNumberFormat="1" applyFont="1" applyFill="1" applyBorder="1" applyAlignment="1">
      <alignment horizontal="center"/>
    </xf>
    <xf numFmtId="3" fontId="0" fillId="6" borderId="3" xfId="0" applyNumberFormat="1" applyFont="1" applyFill="1" applyBorder="1" applyAlignment="1">
      <alignment horizontal="center" vertical="center" wrapText="1"/>
    </xf>
    <xf numFmtId="4" fontId="0" fillId="6" borderId="3" xfId="0" applyNumberFormat="1" applyFont="1" applyFill="1" applyBorder="1" applyAlignment="1">
      <alignment horizontal="center" vertical="center" wrapText="1"/>
    </xf>
    <xf numFmtId="3" fontId="0" fillId="4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20" fontId="0" fillId="2" borderId="22" xfId="0" applyNumberFormat="1" applyFont="1" applyFill="1" applyBorder="1" applyAlignment="1">
      <alignment horizontal="left" vertical="center"/>
    </xf>
    <xf numFmtId="20" fontId="0" fillId="2" borderId="23" xfId="0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left" vertical="center"/>
    </xf>
    <xf numFmtId="0" fontId="0" fillId="2" borderId="16" xfId="0" applyFont="1" applyFill="1" applyBorder="1" applyAlignment="1">
      <alignment horizontal="left" vertical="center"/>
    </xf>
    <xf numFmtId="9" fontId="0" fillId="2" borderId="13" xfId="0" applyNumberFormat="1" applyFont="1" applyFill="1" applyBorder="1" applyAlignment="1">
      <alignment horizontal="left" vertical="center"/>
    </xf>
    <xf numFmtId="0" fontId="0" fillId="2" borderId="18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right" vertical="center"/>
    </xf>
    <xf numFmtId="0" fontId="0" fillId="3" borderId="3" xfId="0" applyFont="1" applyFill="1" applyBorder="1" applyAlignment="1">
      <alignment horizontal="left" vertical="center"/>
    </xf>
    <xf numFmtId="9" fontId="1" fillId="3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14</xdr:row>
          <xdr:rowOff>285750</xdr:rowOff>
        </xdr:from>
        <xdr:to>
          <xdr:col>0</xdr:col>
          <xdr:colOff>361950</xdr:colOff>
          <xdr:row>16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6</xdr:row>
      <xdr:rowOff>142875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19250" cy="16287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495300</xdr:colOff>
          <xdr:row>14</xdr:row>
          <xdr:rowOff>285750</xdr:rowOff>
        </xdr:from>
        <xdr:to>
          <xdr:col>0</xdr:col>
          <xdr:colOff>800100</xdr:colOff>
          <xdr:row>16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103667D6-F6A5-4223-AA81-02C33DF352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923925</xdr:colOff>
          <xdr:row>14</xdr:row>
          <xdr:rowOff>276225</xdr:rowOff>
        </xdr:from>
        <xdr:to>
          <xdr:col>0</xdr:col>
          <xdr:colOff>1228725</xdr:colOff>
          <xdr:row>16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DB76C091-7F5F-45A5-B25A-5F23C56510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1362075</xdr:colOff>
          <xdr:row>14</xdr:row>
          <xdr:rowOff>285750</xdr:rowOff>
        </xdr:from>
        <xdr:to>
          <xdr:col>0</xdr:col>
          <xdr:colOff>1666875</xdr:colOff>
          <xdr:row>16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C3413807-C541-47E1-9B70-E4D059814F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1771650</xdr:colOff>
          <xdr:row>14</xdr:row>
          <xdr:rowOff>285750</xdr:rowOff>
        </xdr:from>
        <xdr:to>
          <xdr:col>0</xdr:col>
          <xdr:colOff>2076450</xdr:colOff>
          <xdr:row>16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FB8FEFF-5F40-4382-913B-F89CEFA5C9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workbookViewId="0">
      <selection activeCell="D19" sqref="D19"/>
    </sheetView>
  </sheetViews>
  <sheetFormatPr baseColWidth="10" defaultRowHeight="15" x14ac:dyDescent="0.25"/>
  <cols>
    <col min="1" max="1" width="68.5703125" style="6" bestFit="1" customWidth="1"/>
    <col min="2" max="3" width="25.7109375" style="6" customWidth="1"/>
    <col min="4" max="7" width="35.7109375" style="6" customWidth="1"/>
    <col min="8" max="16384" width="11.42578125" style="6"/>
  </cols>
  <sheetData>
    <row r="1" spans="1:8" s="10" customFormat="1" ht="20.100000000000001" customHeight="1" x14ac:dyDescent="0.25">
      <c r="C1" s="38"/>
    </row>
    <row r="2" spans="1:8" s="10" customFormat="1" ht="20.100000000000001" customHeight="1" x14ac:dyDescent="0.25"/>
    <row r="3" spans="1:8" s="10" customFormat="1" ht="20.100000000000001" customHeight="1" x14ac:dyDescent="0.25"/>
    <row r="4" spans="1:8" s="10" customFormat="1" ht="20.100000000000001" customHeight="1" thickBot="1" x14ac:dyDescent="0.3"/>
    <row r="5" spans="1:8" s="10" customFormat="1" ht="20.100000000000001" customHeight="1" x14ac:dyDescent="0.25">
      <c r="B5" s="47" t="s">
        <v>34</v>
      </c>
      <c r="C5" s="48"/>
    </row>
    <row r="6" spans="1:8" s="10" customFormat="1" ht="20.100000000000001" customHeight="1" x14ac:dyDescent="0.25">
      <c r="B6" s="49"/>
      <c r="C6" s="50"/>
    </row>
    <row r="7" spans="1:8" s="10" customFormat="1" ht="20.100000000000001" customHeight="1" thickBot="1" x14ac:dyDescent="0.3">
      <c r="B7" s="51"/>
      <c r="C7" s="52"/>
      <c r="D7" s="11"/>
      <c r="E7" s="11"/>
      <c r="F7" s="11"/>
      <c r="G7" s="11"/>
      <c r="H7" s="11"/>
    </row>
    <row r="8" spans="1:8" s="10" customFormat="1" ht="20.100000000000001" customHeight="1" x14ac:dyDescent="0.25">
      <c r="D8" s="11"/>
      <c r="E8" s="11"/>
      <c r="F8" s="11"/>
      <c r="G8" s="11"/>
      <c r="H8" s="11"/>
    </row>
    <row r="9" spans="1:8" s="10" customFormat="1" ht="20.100000000000001" customHeight="1" x14ac:dyDescent="0.25">
      <c r="A9" s="16" t="s">
        <v>19</v>
      </c>
      <c r="B9" s="12" t="s">
        <v>4</v>
      </c>
      <c r="C9" s="22" t="s">
        <v>36</v>
      </c>
      <c r="D9" s="11"/>
      <c r="E9" s="11"/>
      <c r="F9" s="11"/>
      <c r="G9" s="11"/>
      <c r="H9" s="11"/>
    </row>
    <row r="12" spans="1:8" x14ac:dyDescent="0.25">
      <c r="A12" s="44" t="s">
        <v>25</v>
      </c>
      <c r="B12" s="25" t="s">
        <v>20</v>
      </c>
      <c r="C12" s="25" t="s">
        <v>21</v>
      </c>
    </row>
    <row r="13" spans="1:8" x14ac:dyDescent="0.25">
      <c r="A13" s="44"/>
      <c r="B13" s="18">
        <v>45536</v>
      </c>
      <c r="C13" s="18">
        <v>45900</v>
      </c>
    </row>
    <row r="14" spans="1:8" ht="15.75" thickBot="1" x14ac:dyDescent="0.3"/>
    <row r="15" spans="1:8" s="10" customFormat="1" ht="24.95" customHeight="1" x14ac:dyDescent="0.25">
      <c r="A15" s="75" t="s">
        <v>38</v>
      </c>
      <c r="B15" s="1"/>
      <c r="C15" s="2"/>
      <c r="D15" s="11"/>
      <c r="E15" s="11"/>
      <c r="F15" s="11"/>
      <c r="G15" s="11"/>
      <c r="H15" s="11"/>
    </row>
    <row r="16" spans="1:8" s="10" customFormat="1" ht="24.75" customHeight="1" thickBot="1" x14ac:dyDescent="0.3">
      <c r="A16" s="3" t="s">
        <v>37</v>
      </c>
      <c r="B16" s="4"/>
      <c r="C16" s="5"/>
      <c r="D16" s="11"/>
      <c r="E16" s="11"/>
      <c r="F16" s="11"/>
      <c r="G16" s="11"/>
      <c r="H16" s="11"/>
    </row>
    <row r="17" spans="1:3" ht="15.75" thickBot="1" x14ac:dyDescent="0.3"/>
    <row r="18" spans="1:3" ht="18.95" customHeight="1" x14ac:dyDescent="0.25">
      <c r="A18" s="13" t="s">
        <v>0</v>
      </c>
      <c r="B18" s="53" t="s">
        <v>5</v>
      </c>
      <c r="C18" s="54"/>
    </row>
    <row r="19" spans="1:3" ht="18.95" customHeight="1" x14ac:dyDescent="0.25">
      <c r="A19" s="14" t="s">
        <v>1</v>
      </c>
      <c r="B19" s="55">
        <v>0.7</v>
      </c>
      <c r="C19" s="56"/>
    </row>
    <row r="20" spans="1:3" ht="18.95" customHeight="1" thickBot="1" x14ac:dyDescent="0.3">
      <c r="A20" s="15" t="s">
        <v>35</v>
      </c>
      <c r="B20" s="45" t="s">
        <v>26</v>
      </c>
      <c r="C20" s="46"/>
    </row>
  </sheetData>
  <mergeCells count="5">
    <mergeCell ref="A12:A13"/>
    <mergeCell ref="B20:C20"/>
    <mergeCell ref="B5:C7"/>
    <mergeCell ref="B18:C18"/>
    <mergeCell ref="B19:C19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57150</xdr:colOff>
                    <xdr:row>14</xdr:row>
                    <xdr:rowOff>285750</xdr:rowOff>
                  </from>
                  <to>
                    <xdr:col>0</xdr:col>
                    <xdr:colOff>361950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0</xdr:col>
                    <xdr:colOff>495300</xdr:colOff>
                    <xdr:row>14</xdr:row>
                    <xdr:rowOff>285750</xdr:rowOff>
                  </from>
                  <to>
                    <xdr:col>0</xdr:col>
                    <xdr:colOff>800100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0</xdr:col>
                    <xdr:colOff>923925</xdr:colOff>
                    <xdr:row>14</xdr:row>
                    <xdr:rowOff>276225</xdr:rowOff>
                  </from>
                  <to>
                    <xdr:col>0</xdr:col>
                    <xdr:colOff>1228725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0</xdr:col>
                    <xdr:colOff>1362075</xdr:colOff>
                    <xdr:row>14</xdr:row>
                    <xdr:rowOff>285750</xdr:rowOff>
                  </from>
                  <to>
                    <xdr:col>0</xdr:col>
                    <xdr:colOff>1666875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0</xdr:col>
                    <xdr:colOff>1771650</xdr:colOff>
                    <xdr:row>14</xdr:row>
                    <xdr:rowOff>285750</xdr:rowOff>
                  </from>
                  <to>
                    <xdr:col>0</xdr:col>
                    <xdr:colOff>2076450</xdr:colOff>
                    <xdr:row>16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6"/>
  <sheetViews>
    <sheetView workbookViewId="0">
      <pane xSplit="1" ySplit="12" topLeftCell="B13" activePane="bottomRight" state="frozen"/>
      <selection activeCell="A10" sqref="A10"/>
      <selection pane="topRight" activeCell="A10" sqref="A10"/>
      <selection pane="bottomLeft" activeCell="A10" sqref="A10"/>
      <selection pane="bottomRight" activeCell="E12" sqref="E12"/>
    </sheetView>
  </sheetViews>
  <sheetFormatPr baseColWidth="10" defaultRowHeight="20.100000000000001" customHeight="1" x14ac:dyDescent="0.25"/>
  <cols>
    <col min="1" max="1" width="97" style="6" customWidth="1"/>
    <col min="2" max="3" width="15.7109375" style="7" customWidth="1"/>
    <col min="4" max="4" width="15.7109375" style="6" customWidth="1"/>
    <col min="5" max="16384" width="11.42578125" style="6"/>
  </cols>
  <sheetData>
    <row r="1" spans="1:5" ht="20.100000000000001" customHeight="1" x14ac:dyDescent="0.25">
      <c r="A1" s="58" t="s">
        <v>18</v>
      </c>
      <c r="B1" s="58"/>
      <c r="C1" s="58"/>
      <c r="D1" s="58"/>
    </row>
    <row r="3" spans="1:5" ht="20.100000000000001" customHeight="1" x14ac:dyDescent="0.25">
      <c r="A3" s="20" t="s">
        <v>0</v>
      </c>
      <c r="B3" s="64" t="str">
        <f>AESH!B18</f>
        <v>DUPONT Olivier</v>
      </c>
      <c r="C3" s="64"/>
      <c r="D3" s="64"/>
    </row>
    <row r="4" spans="1:5" ht="20.100000000000001" customHeight="1" x14ac:dyDescent="0.25">
      <c r="A4" s="12" t="s">
        <v>24</v>
      </c>
      <c r="B4" s="26">
        <f>AESH!B13</f>
        <v>45536</v>
      </c>
      <c r="C4" s="21" t="s">
        <v>21</v>
      </c>
      <c r="D4" s="26">
        <f>AESH!C13</f>
        <v>45900</v>
      </c>
    </row>
    <row r="5" spans="1:5" s="10" customFormat="1" ht="20.100000000000001" customHeight="1" x14ac:dyDescent="0.25">
      <c r="A5" s="17"/>
      <c r="B5" s="21"/>
      <c r="C5" s="24"/>
      <c r="D5" s="21"/>
      <c r="E5" s="24"/>
    </row>
    <row r="6" spans="1:5" ht="20.100000000000001" customHeight="1" x14ac:dyDescent="0.25">
      <c r="A6" s="12" t="s">
        <v>15</v>
      </c>
      <c r="B6" s="65">
        <v>0.7</v>
      </c>
      <c r="C6" s="65"/>
      <c r="D6" s="65"/>
    </row>
    <row r="7" spans="1:5" ht="29.25" customHeight="1" x14ac:dyDescent="0.25">
      <c r="A7" s="43" t="s">
        <v>33</v>
      </c>
      <c r="B7" s="66">
        <v>5.708333333333333</v>
      </c>
      <c r="C7" s="66"/>
      <c r="D7" s="66"/>
    </row>
    <row r="8" spans="1:5" ht="20.100000000000001" customHeight="1" x14ac:dyDescent="0.25">
      <c r="A8" s="12" t="s">
        <v>14</v>
      </c>
      <c r="B8" s="61">
        <f>C36</f>
        <v>0.21527777777777776</v>
      </c>
      <c r="C8" s="61"/>
      <c r="D8" s="61"/>
    </row>
    <row r="9" spans="1:5" ht="20.100000000000001" customHeight="1" x14ac:dyDescent="0.25">
      <c r="A9" s="12" t="s">
        <v>17</v>
      </c>
      <c r="B9" s="61">
        <f>B7-B8</f>
        <v>5.4930555555555554</v>
      </c>
      <c r="C9" s="61"/>
      <c r="D9" s="61"/>
    </row>
    <row r="11" spans="1:5" ht="33.75" customHeight="1" x14ac:dyDescent="0.25">
      <c r="C11" s="57" t="s">
        <v>23</v>
      </c>
      <c r="D11" s="57"/>
    </row>
    <row r="12" spans="1:5" ht="27.75" customHeight="1" x14ac:dyDescent="0.25">
      <c r="A12" s="23" t="s">
        <v>6</v>
      </c>
      <c r="B12" s="23" t="s">
        <v>13</v>
      </c>
      <c r="C12" s="23" t="s">
        <v>2</v>
      </c>
      <c r="D12" s="23" t="s">
        <v>3</v>
      </c>
    </row>
    <row r="13" spans="1:5" ht="20.100000000000001" customHeight="1" x14ac:dyDescent="0.25">
      <c r="A13" s="8" t="s">
        <v>9</v>
      </c>
      <c r="B13" s="18">
        <v>43921</v>
      </c>
      <c r="C13" s="19">
        <v>6.9444444444444441E-3</v>
      </c>
      <c r="D13" s="19">
        <v>0</v>
      </c>
    </row>
    <row r="14" spans="1:5" ht="20.100000000000001" customHeight="1" x14ac:dyDescent="0.25">
      <c r="A14" s="8" t="s">
        <v>7</v>
      </c>
      <c r="B14" s="18">
        <v>43926</v>
      </c>
      <c r="C14" s="19">
        <v>4.1666666666666664E-2</v>
      </c>
      <c r="D14" s="19">
        <v>0</v>
      </c>
    </row>
    <row r="15" spans="1:5" ht="20.100000000000001" customHeight="1" x14ac:dyDescent="0.25">
      <c r="A15" s="8" t="s">
        <v>8</v>
      </c>
      <c r="B15" s="18">
        <v>43931</v>
      </c>
      <c r="C15" s="19">
        <v>0</v>
      </c>
      <c r="D15" s="19">
        <v>0.16666666666666666</v>
      </c>
    </row>
    <row r="16" spans="1:5" ht="20.100000000000001" customHeight="1" x14ac:dyDescent="0.25">
      <c r="A16" s="8" t="s">
        <v>10</v>
      </c>
      <c r="B16" s="16"/>
      <c r="C16" s="19">
        <v>0</v>
      </c>
      <c r="D16" s="19">
        <v>0</v>
      </c>
    </row>
    <row r="17" spans="1:4" ht="20.100000000000001" customHeight="1" x14ac:dyDescent="0.25">
      <c r="A17" s="8" t="s">
        <v>11</v>
      </c>
      <c r="B17" s="16"/>
      <c r="C17" s="19">
        <v>0</v>
      </c>
      <c r="D17" s="19">
        <v>0</v>
      </c>
    </row>
    <row r="18" spans="1:4" ht="20.100000000000001" customHeight="1" x14ac:dyDescent="0.25">
      <c r="A18" s="8" t="s">
        <v>22</v>
      </c>
      <c r="B18" s="16"/>
      <c r="C18" s="19">
        <v>0</v>
      </c>
      <c r="D18" s="19">
        <v>0</v>
      </c>
    </row>
    <row r="19" spans="1:4" ht="20.100000000000001" customHeight="1" x14ac:dyDescent="0.25">
      <c r="A19" s="8"/>
      <c r="B19" s="16"/>
      <c r="C19" s="19"/>
      <c r="D19" s="19"/>
    </row>
    <row r="20" spans="1:4" ht="20.100000000000001" customHeight="1" x14ac:dyDescent="0.25">
      <c r="A20" s="8"/>
      <c r="B20" s="16"/>
      <c r="C20" s="19"/>
      <c r="D20" s="19"/>
    </row>
    <row r="21" spans="1:4" ht="20.100000000000001" customHeight="1" x14ac:dyDescent="0.25">
      <c r="A21" s="8"/>
      <c r="B21" s="16"/>
      <c r="C21" s="19"/>
      <c r="D21" s="19"/>
    </row>
    <row r="22" spans="1:4" ht="20.100000000000001" customHeight="1" x14ac:dyDescent="0.25">
      <c r="A22" s="8"/>
      <c r="B22" s="16"/>
      <c r="C22" s="19"/>
      <c r="D22" s="19"/>
    </row>
    <row r="23" spans="1:4" ht="20.100000000000001" customHeight="1" x14ac:dyDescent="0.25">
      <c r="A23" s="8"/>
      <c r="B23" s="16"/>
      <c r="C23" s="19"/>
      <c r="D23" s="19"/>
    </row>
    <row r="24" spans="1:4" ht="20.100000000000001" customHeight="1" x14ac:dyDescent="0.25">
      <c r="A24" s="8"/>
      <c r="B24" s="16"/>
      <c r="C24" s="19"/>
      <c r="D24" s="19"/>
    </row>
    <row r="25" spans="1:4" ht="20.100000000000001" customHeight="1" x14ac:dyDescent="0.25">
      <c r="A25" s="8"/>
      <c r="B25" s="16"/>
      <c r="C25" s="19"/>
      <c r="D25" s="19"/>
    </row>
    <row r="26" spans="1:4" ht="20.100000000000001" customHeight="1" x14ac:dyDescent="0.25">
      <c r="A26" s="8"/>
      <c r="B26" s="16"/>
      <c r="C26" s="19"/>
      <c r="D26" s="19"/>
    </row>
    <row r="27" spans="1:4" ht="20.100000000000001" customHeight="1" x14ac:dyDescent="0.25">
      <c r="A27" s="8"/>
      <c r="B27" s="16"/>
      <c r="C27" s="19"/>
      <c r="D27" s="19"/>
    </row>
    <row r="28" spans="1:4" ht="20.100000000000001" customHeight="1" x14ac:dyDescent="0.25">
      <c r="A28" s="8"/>
      <c r="B28" s="16"/>
      <c r="C28" s="19"/>
      <c r="D28" s="19"/>
    </row>
    <row r="29" spans="1:4" ht="20.100000000000001" customHeight="1" x14ac:dyDescent="0.25">
      <c r="A29" s="8"/>
      <c r="B29" s="16"/>
      <c r="C29" s="19"/>
      <c r="D29" s="19"/>
    </row>
    <row r="30" spans="1:4" ht="20.100000000000001" customHeight="1" x14ac:dyDescent="0.25">
      <c r="A30" s="8"/>
      <c r="B30" s="16"/>
      <c r="C30" s="19"/>
      <c r="D30" s="19"/>
    </row>
    <row r="31" spans="1:4" ht="20.100000000000001" customHeight="1" x14ac:dyDescent="0.25">
      <c r="A31" s="8"/>
      <c r="B31" s="16"/>
      <c r="C31" s="19"/>
      <c r="D31" s="19"/>
    </row>
    <row r="32" spans="1:4" ht="20.100000000000001" customHeight="1" x14ac:dyDescent="0.25">
      <c r="A32" s="8"/>
      <c r="B32" s="16"/>
      <c r="C32" s="19"/>
      <c r="D32" s="19"/>
    </row>
    <row r="33" spans="1:4" ht="20.100000000000001" customHeight="1" x14ac:dyDescent="0.25">
      <c r="A33" s="8"/>
      <c r="B33" s="16"/>
      <c r="C33" s="19"/>
      <c r="D33" s="19"/>
    </row>
    <row r="34" spans="1:4" ht="20.100000000000001" customHeight="1" x14ac:dyDescent="0.25">
      <c r="A34" s="8"/>
      <c r="B34" s="16"/>
      <c r="C34" s="19"/>
      <c r="D34" s="19"/>
    </row>
    <row r="35" spans="1:4" ht="20.100000000000001" customHeight="1" x14ac:dyDescent="0.25">
      <c r="A35" s="59" t="s">
        <v>12</v>
      </c>
      <c r="B35" s="60"/>
      <c r="C35" s="9">
        <f>SUM(C13:C18)</f>
        <v>4.8611111111111105E-2</v>
      </c>
      <c r="D35" s="9">
        <f>SUM(D13:D18)</f>
        <v>0.16666666666666666</v>
      </c>
    </row>
    <row r="36" spans="1:4" ht="20.100000000000001" customHeight="1" x14ac:dyDescent="0.25">
      <c r="A36" s="63" t="s">
        <v>16</v>
      </c>
      <c r="B36" s="63"/>
      <c r="C36" s="61">
        <f>C35+D35</f>
        <v>0.21527777777777776</v>
      </c>
      <c r="D36" s="62"/>
    </row>
  </sheetData>
  <mergeCells count="10">
    <mergeCell ref="C11:D11"/>
    <mergeCell ref="A1:D1"/>
    <mergeCell ref="A35:B35"/>
    <mergeCell ref="C36:D36"/>
    <mergeCell ref="A36:B36"/>
    <mergeCell ref="B3:D3"/>
    <mergeCell ref="B6:D6"/>
    <mergeCell ref="B7:D7"/>
    <mergeCell ref="B8:D8"/>
    <mergeCell ref="B9:D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Q35"/>
  <sheetViews>
    <sheetView tabSelected="1" workbookViewId="0">
      <selection activeCell="S25" sqref="S25"/>
    </sheetView>
  </sheetViews>
  <sheetFormatPr baseColWidth="10" defaultColWidth="15.7109375" defaultRowHeight="15" outlineLevelCol="1" x14ac:dyDescent="0.25"/>
  <cols>
    <col min="1" max="1" width="15.7109375" style="27"/>
    <col min="2" max="4" width="15.7109375" style="27" hidden="1" customWidth="1" outlineLevel="1"/>
    <col min="5" max="5" width="15.7109375" style="27" collapsed="1"/>
    <col min="6" max="8" width="15.7109375" style="27" hidden="1" customWidth="1" outlineLevel="1"/>
    <col min="9" max="9" width="15.7109375" style="27" collapsed="1"/>
    <col min="10" max="12" width="15.7109375" style="27" hidden="1" customWidth="1" outlineLevel="1"/>
    <col min="13" max="13" width="15.7109375" style="27" collapsed="1"/>
    <col min="14" max="16" width="15.7109375" style="27" hidden="1" customWidth="1" outlineLevel="1"/>
    <col min="17" max="17" width="15.7109375" style="27" collapsed="1"/>
    <col min="18" max="16384" width="15.7109375" style="27"/>
  </cols>
  <sheetData>
    <row r="2" spans="1:17" ht="15.75" x14ac:dyDescent="0.25">
      <c r="A2" s="67" t="s">
        <v>27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37"/>
    </row>
    <row r="6" spans="1:17" ht="77.25" customHeight="1" x14ac:dyDescent="0.25">
      <c r="A6" s="28" t="s">
        <v>28</v>
      </c>
      <c r="B6" s="68" t="s">
        <v>29</v>
      </c>
      <c r="C6" s="69"/>
      <c r="D6" s="69"/>
      <c r="E6" s="70"/>
      <c r="F6" s="71" t="s">
        <v>30</v>
      </c>
      <c r="G6" s="72"/>
      <c r="H6" s="72"/>
      <c r="I6" s="73"/>
      <c r="J6" s="71" t="s">
        <v>31</v>
      </c>
      <c r="K6" s="72"/>
      <c r="L6" s="72"/>
      <c r="M6" s="73"/>
      <c r="N6" s="74" t="s">
        <v>32</v>
      </c>
      <c r="O6" s="74"/>
      <c r="P6" s="74"/>
      <c r="Q6" s="74"/>
    </row>
    <row r="7" spans="1:17" x14ac:dyDescent="0.25">
      <c r="A7" s="29">
        <v>0.15</v>
      </c>
      <c r="B7" s="30">
        <f t="shared" ref="B7:B19" si="0">$B$25*A7</f>
        <v>241.04999999999998</v>
      </c>
      <c r="C7" s="31">
        <f>0.05/24</f>
        <v>2.0833333333333333E-3</v>
      </c>
      <c r="D7" s="32">
        <v>241.03</v>
      </c>
      <c r="E7" s="39">
        <f t="shared" ref="E7:E24" si="1">ROUNDDOWN(D7,0)</f>
        <v>241</v>
      </c>
      <c r="F7" s="30">
        <f t="shared" ref="F7:F25" si="2">B7*36/41</f>
        <v>211.65365853658534</v>
      </c>
      <c r="G7" s="33">
        <f>0.65/24</f>
        <v>2.7083333333333334E-2</v>
      </c>
      <c r="H7" s="34">
        <v>211.39</v>
      </c>
      <c r="I7" s="40">
        <f t="shared" ref="I7:I24" si="3">ROUNDDOWN(H7,0)</f>
        <v>211</v>
      </c>
      <c r="J7" s="30">
        <f t="shared" ref="J7:J24" si="4">F7/36</f>
        <v>5.8792682926829265</v>
      </c>
      <c r="K7" s="33">
        <f>0.88/24</f>
        <v>3.6666666666666667E-2</v>
      </c>
      <c r="L7" s="34">
        <v>5.52</v>
      </c>
      <c r="M7" s="41">
        <f t="shared" ref="M7:M22" si="5">ROUNDDOWN(L7,1)</f>
        <v>5.5</v>
      </c>
      <c r="N7" s="30">
        <f t="shared" ref="N7:N25" si="6">B7-F7</f>
        <v>29.396341463414643</v>
      </c>
      <c r="O7" s="33">
        <f>0.4/24</f>
        <v>1.6666666666666666E-2</v>
      </c>
      <c r="P7" s="35">
        <v>29.24</v>
      </c>
      <c r="Q7" s="42">
        <f>E7-I7</f>
        <v>30</v>
      </c>
    </row>
    <row r="8" spans="1:17" x14ac:dyDescent="0.25">
      <c r="A8" s="29">
        <v>0.2</v>
      </c>
      <c r="B8" s="30">
        <f t="shared" si="0"/>
        <v>321.40000000000003</v>
      </c>
      <c r="C8" s="31">
        <f>0.4/24</f>
        <v>1.6666666666666666E-2</v>
      </c>
      <c r="D8" s="32">
        <v>321.24</v>
      </c>
      <c r="E8" s="39">
        <f t="shared" si="1"/>
        <v>321</v>
      </c>
      <c r="F8" s="30">
        <f t="shared" si="2"/>
        <v>282.20487804878053</v>
      </c>
      <c r="G8" s="33">
        <f>0.2/24</f>
        <v>8.3333333333333332E-3</v>
      </c>
      <c r="H8" s="34">
        <v>282.2</v>
      </c>
      <c r="I8" s="40">
        <f t="shared" si="3"/>
        <v>282</v>
      </c>
      <c r="J8" s="30">
        <f t="shared" si="4"/>
        <v>7.8390243902439032</v>
      </c>
      <c r="K8" s="33">
        <f>0.84/24</f>
        <v>3.4999999999999996E-2</v>
      </c>
      <c r="L8" s="34">
        <v>7.5</v>
      </c>
      <c r="M8" s="41">
        <f t="shared" si="5"/>
        <v>7.5</v>
      </c>
      <c r="N8" s="30">
        <f t="shared" si="6"/>
        <v>39.195121951219505</v>
      </c>
      <c r="O8" s="33">
        <f>0.2/24</f>
        <v>8.3333333333333332E-3</v>
      </c>
      <c r="P8" s="35">
        <v>39.119999999999997</v>
      </c>
      <c r="Q8" s="42">
        <f t="shared" ref="Q8:Q25" si="7">E8-I8</f>
        <v>39</v>
      </c>
    </row>
    <row r="9" spans="1:17" x14ac:dyDescent="0.25">
      <c r="A9" s="29">
        <v>0.25</v>
      </c>
      <c r="B9" s="30">
        <f t="shared" si="0"/>
        <v>401.75</v>
      </c>
      <c r="C9" s="31">
        <f>0.75/24</f>
        <v>3.125E-2</v>
      </c>
      <c r="D9" s="32">
        <v>401.45</v>
      </c>
      <c r="E9" s="39">
        <f t="shared" si="1"/>
        <v>401</v>
      </c>
      <c r="F9" s="30">
        <f t="shared" si="2"/>
        <v>352.7560975609756</v>
      </c>
      <c r="G9" s="33">
        <f>0.76/24</f>
        <v>3.1666666666666669E-2</v>
      </c>
      <c r="H9" s="34">
        <v>352.45</v>
      </c>
      <c r="I9" s="40">
        <f t="shared" si="3"/>
        <v>352</v>
      </c>
      <c r="J9" s="30">
        <f t="shared" si="4"/>
        <v>9.7987804878048781</v>
      </c>
      <c r="K9" s="33">
        <f>0.8/24</f>
        <v>3.3333333333333333E-2</v>
      </c>
      <c r="L9" s="34">
        <v>9.48</v>
      </c>
      <c r="M9" s="41">
        <v>9.4499999999999993</v>
      </c>
      <c r="N9" s="30">
        <f t="shared" si="6"/>
        <v>48.993902439024396</v>
      </c>
      <c r="O9" s="33">
        <f>0.99/24</f>
        <v>4.1250000000000002E-2</v>
      </c>
      <c r="P9" s="35">
        <v>48.59</v>
      </c>
      <c r="Q9" s="42">
        <f t="shared" si="7"/>
        <v>49</v>
      </c>
    </row>
    <row r="10" spans="1:17" x14ac:dyDescent="0.25">
      <c r="A10" s="29">
        <v>0.3</v>
      </c>
      <c r="B10" s="30">
        <f t="shared" si="0"/>
        <v>482.09999999999997</v>
      </c>
      <c r="C10" s="31">
        <f>0.1/24</f>
        <v>4.1666666666666666E-3</v>
      </c>
      <c r="D10" s="32">
        <v>482.06</v>
      </c>
      <c r="E10" s="39">
        <f t="shared" si="1"/>
        <v>482</v>
      </c>
      <c r="F10" s="30">
        <f t="shared" si="2"/>
        <v>423.30731707317068</v>
      </c>
      <c r="G10" s="33">
        <f>0.31/24</f>
        <v>1.2916666666666667E-2</v>
      </c>
      <c r="H10" s="34">
        <v>423.18</v>
      </c>
      <c r="I10" s="40">
        <v>423</v>
      </c>
      <c r="J10" s="30">
        <f t="shared" si="4"/>
        <v>11.758536585365853</v>
      </c>
      <c r="K10" s="33">
        <f>0.76/24</f>
        <v>3.1666666666666669E-2</v>
      </c>
      <c r="L10" s="34">
        <v>11.45</v>
      </c>
      <c r="M10" s="41">
        <v>11.45</v>
      </c>
      <c r="N10" s="30">
        <f t="shared" si="6"/>
        <v>58.792682926829286</v>
      </c>
      <c r="O10" s="33">
        <f>0.79/24</f>
        <v>3.291666666666667E-2</v>
      </c>
      <c r="P10" s="35">
        <v>58.47</v>
      </c>
      <c r="Q10" s="42">
        <f t="shared" si="7"/>
        <v>59</v>
      </c>
    </row>
    <row r="11" spans="1:17" x14ac:dyDescent="0.25">
      <c r="A11" s="29">
        <v>0.32</v>
      </c>
      <c r="B11" s="30">
        <f t="shared" si="0"/>
        <v>514.24</v>
      </c>
      <c r="C11" s="31">
        <f>0.24/24</f>
        <v>0.01</v>
      </c>
      <c r="D11" s="32">
        <v>514.14</v>
      </c>
      <c r="E11" s="39">
        <f t="shared" si="1"/>
        <v>514</v>
      </c>
      <c r="F11" s="30">
        <f t="shared" si="2"/>
        <v>451.52780487804876</v>
      </c>
      <c r="G11" s="33">
        <f>0.53/24</f>
        <v>2.2083333333333333E-2</v>
      </c>
      <c r="H11" s="34">
        <v>451.31</v>
      </c>
      <c r="I11" s="40">
        <f t="shared" si="3"/>
        <v>451</v>
      </c>
      <c r="J11" s="30">
        <f t="shared" si="4"/>
        <v>12.542439024390243</v>
      </c>
      <c r="K11" s="33">
        <f>0.54/24</f>
        <v>2.2500000000000003E-2</v>
      </c>
      <c r="L11" s="34">
        <v>12.32</v>
      </c>
      <c r="M11" s="41">
        <f t="shared" si="5"/>
        <v>12.3</v>
      </c>
      <c r="N11" s="30">
        <f t="shared" si="6"/>
        <v>62.712195121951254</v>
      </c>
      <c r="O11" s="33">
        <f>0.71/24</f>
        <v>2.9583333333333333E-2</v>
      </c>
      <c r="P11" s="35">
        <v>62.42</v>
      </c>
      <c r="Q11" s="42">
        <f t="shared" si="7"/>
        <v>63</v>
      </c>
    </row>
    <row r="12" spans="1:17" x14ac:dyDescent="0.25">
      <c r="A12" s="29">
        <v>0.35</v>
      </c>
      <c r="B12" s="30">
        <f t="shared" si="0"/>
        <v>562.44999999999993</v>
      </c>
      <c r="C12" s="31">
        <f>0.45/24</f>
        <v>1.8749999999999999E-2</v>
      </c>
      <c r="D12" s="32">
        <v>562.27</v>
      </c>
      <c r="E12" s="39">
        <f t="shared" si="1"/>
        <v>562</v>
      </c>
      <c r="F12" s="30">
        <f t="shared" si="2"/>
        <v>493.85853658536575</v>
      </c>
      <c r="G12" s="33">
        <f>0.86/24</f>
        <v>3.5833333333333335E-2</v>
      </c>
      <c r="H12" s="34">
        <v>493.51</v>
      </c>
      <c r="I12" s="40">
        <f t="shared" si="3"/>
        <v>493</v>
      </c>
      <c r="J12" s="30">
        <f t="shared" si="4"/>
        <v>13.718292682926826</v>
      </c>
      <c r="K12" s="33">
        <f>0.72/24</f>
        <v>0.03</v>
      </c>
      <c r="L12" s="34">
        <v>13.43</v>
      </c>
      <c r="M12" s="41">
        <f t="shared" si="5"/>
        <v>13.4</v>
      </c>
      <c r="N12" s="30">
        <f t="shared" si="6"/>
        <v>68.591463414634177</v>
      </c>
      <c r="O12" s="33">
        <f>0.59/24</f>
        <v>2.4583333333333332E-2</v>
      </c>
      <c r="P12" s="35">
        <v>68.349999999999994</v>
      </c>
      <c r="Q12" s="42">
        <f t="shared" si="7"/>
        <v>69</v>
      </c>
    </row>
    <row r="13" spans="1:17" x14ac:dyDescent="0.25">
      <c r="A13" s="29">
        <v>0.4</v>
      </c>
      <c r="B13" s="30">
        <f t="shared" si="0"/>
        <v>642.80000000000007</v>
      </c>
      <c r="C13" s="31">
        <f>0.8/24</f>
        <v>3.3333333333333333E-2</v>
      </c>
      <c r="D13" s="32">
        <v>642.48</v>
      </c>
      <c r="E13" s="39">
        <f t="shared" si="1"/>
        <v>642</v>
      </c>
      <c r="F13" s="30">
        <f t="shared" si="2"/>
        <v>564.40975609756106</v>
      </c>
      <c r="G13" s="33">
        <f>0.41/24</f>
        <v>1.7083333333333332E-2</v>
      </c>
      <c r="H13" s="34">
        <v>564.24</v>
      </c>
      <c r="I13" s="40">
        <f t="shared" si="3"/>
        <v>564</v>
      </c>
      <c r="J13" s="30">
        <f t="shared" si="4"/>
        <v>15.678048780487806</v>
      </c>
      <c r="K13" s="33">
        <f>0.68/24</f>
        <v>2.8333333333333335E-2</v>
      </c>
      <c r="L13" s="34">
        <v>15.4</v>
      </c>
      <c r="M13" s="41">
        <f t="shared" si="5"/>
        <v>15.4</v>
      </c>
      <c r="N13" s="30">
        <f t="shared" si="6"/>
        <v>78.390243902439011</v>
      </c>
      <c r="O13" s="33">
        <f>0.39/24</f>
        <v>1.6250000000000001E-2</v>
      </c>
      <c r="P13" s="35">
        <v>78.23</v>
      </c>
      <c r="Q13" s="42">
        <f t="shared" si="7"/>
        <v>78</v>
      </c>
    </row>
    <row r="14" spans="1:17" x14ac:dyDescent="0.25">
      <c r="A14" s="29">
        <v>0.45</v>
      </c>
      <c r="B14" s="30">
        <f t="shared" si="0"/>
        <v>723.15</v>
      </c>
      <c r="C14" s="31">
        <f>0.48/24</f>
        <v>0.02</v>
      </c>
      <c r="D14" s="32">
        <v>723.28</v>
      </c>
      <c r="E14" s="39">
        <f t="shared" si="1"/>
        <v>723</v>
      </c>
      <c r="F14" s="30">
        <f t="shared" si="2"/>
        <v>634.96097560975602</v>
      </c>
      <c r="G14" s="33">
        <f>0.96/24</f>
        <v>0.04</v>
      </c>
      <c r="H14" s="34">
        <v>634.57000000000005</v>
      </c>
      <c r="I14" s="40">
        <f t="shared" si="3"/>
        <v>634</v>
      </c>
      <c r="J14" s="30">
        <f t="shared" si="4"/>
        <v>17.637804878048779</v>
      </c>
      <c r="K14" s="33">
        <f>0.64/24</f>
        <v>2.6666666666666668E-2</v>
      </c>
      <c r="L14" s="34">
        <v>17.38</v>
      </c>
      <c r="M14" s="41">
        <v>17.350000000000001</v>
      </c>
      <c r="N14" s="30">
        <f t="shared" si="6"/>
        <v>88.189024390243958</v>
      </c>
      <c r="O14" s="33">
        <f>0.19/24</f>
        <v>7.9166666666666673E-3</v>
      </c>
      <c r="P14" s="35">
        <v>88.11</v>
      </c>
      <c r="Q14" s="42">
        <f t="shared" si="7"/>
        <v>89</v>
      </c>
    </row>
    <row r="15" spans="1:17" x14ac:dyDescent="0.25">
      <c r="A15" s="29">
        <v>0.5</v>
      </c>
      <c r="B15" s="30">
        <f t="shared" si="0"/>
        <v>803.5</v>
      </c>
      <c r="C15" s="31">
        <f>0.5/24</f>
        <v>2.0833333333333332E-2</v>
      </c>
      <c r="D15" s="32">
        <v>803.3</v>
      </c>
      <c r="E15" s="39">
        <f t="shared" si="1"/>
        <v>803</v>
      </c>
      <c r="F15" s="30">
        <f t="shared" si="2"/>
        <v>705.51219512195121</v>
      </c>
      <c r="G15" s="33">
        <f>0.51/24</f>
        <v>2.1250000000000002E-2</v>
      </c>
      <c r="H15" s="34">
        <v>705.3</v>
      </c>
      <c r="I15" s="40">
        <f t="shared" si="3"/>
        <v>705</v>
      </c>
      <c r="J15" s="30">
        <f t="shared" si="4"/>
        <v>19.597560975609756</v>
      </c>
      <c r="K15" s="33">
        <f>0.6/24</f>
        <v>2.4999999999999998E-2</v>
      </c>
      <c r="L15" s="34">
        <v>19.36</v>
      </c>
      <c r="M15" s="41">
        <v>19.350000000000001</v>
      </c>
      <c r="N15" s="30">
        <f t="shared" si="6"/>
        <v>97.987804878048792</v>
      </c>
      <c r="O15" s="33">
        <f>0.99/24</f>
        <v>4.1250000000000002E-2</v>
      </c>
      <c r="P15" s="35">
        <v>97.59</v>
      </c>
      <c r="Q15" s="42">
        <f t="shared" si="7"/>
        <v>98</v>
      </c>
    </row>
    <row r="16" spans="1:17" x14ac:dyDescent="0.25">
      <c r="A16" s="29">
        <v>0.55000000000000004</v>
      </c>
      <c r="B16" s="30">
        <f t="shared" si="0"/>
        <v>883.85</v>
      </c>
      <c r="C16" s="31">
        <f>0.85/24</f>
        <v>3.5416666666666666E-2</v>
      </c>
      <c r="D16" s="32">
        <v>883.51</v>
      </c>
      <c r="E16" s="39">
        <f t="shared" si="1"/>
        <v>883</v>
      </c>
      <c r="F16" s="30">
        <f t="shared" si="2"/>
        <v>776.0634146341464</v>
      </c>
      <c r="G16" s="33">
        <f>0.06/24</f>
        <v>2.5000000000000001E-3</v>
      </c>
      <c r="H16" s="34">
        <v>776.03</v>
      </c>
      <c r="I16" s="40">
        <f t="shared" si="3"/>
        <v>776</v>
      </c>
      <c r="J16" s="30">
        <f t="shared" si="4"/>
        <v>21.557317073170733</v>
      </c>
      <c r="K16" s="33">
        <f>0.56/24</f>
        <v>2.3333333333333334E-2</v>
      </c>
      <c r="L16" s="34">
        <v>21.33</v>
      </c>
      <c r="M16" s="41">
        <f t="shared" si="5"/>
        <v>21.3</v>
      </c>
      <c r="N16" s="30">
        <f t="shared" si="6"/>
        <v>107.78658536585363</v>
      </c>
      <c r="O16" s="33">
        <f>0.79/24</f>
        <v>3.291666666666667E-2</v>
      </c>
      <c r="P16" s="35">
        <v>107.47</v>
      </c>
      <c r="Q16" s="42">
        <f t="shared" si="7"/>
        <v>107</v>
      </c>
    </row>
    <row r="17" spans="1:17" x14ac:dyDescent="0.25">
      <c r="A17" s="29">
        <v>0.6</v>
      </c>
      <c r="B17" s="30">
        <f t="shared" si="0"/>
        <v>964.19999999999993</v>
      </c>
      <c r="C17" s="31">
        <f>0.2/24</f>
        <v>8.3333333333333332E-3</v>
      </c>
      <c r="D17" s="32">
        <v>964.12</v>
      </c>
      <c r="E17" s="39">
        <f t="shared" si="1"/>
        <v>964</v>
      </c>
      <c r="F17" s="30">
        <f t="shared" si="2"/>
        <v>846.61463414634136</v>
      </c>
      <c r="G17" s="33">
        <f>0.61/24</f>
        <v>2.5416666666666667E-2</v>
      </c>
      <c r="H17" s="34">
        <v>846.36</v>
      </c>
      <c r="I17" s="40">
        <f t="shared" si="3"/>
        <v>846</v>
      </c>
      <c r="J17" s="30">
        <f t="shared" si="4"/>
        <v>23.517073170731706</v>
      </c>
      <c r="K17" s="33">
        <f>0.52/24</f>
        <v>2.1666666666666667E-2</v>
      </c>
      <c r="L17" s="34">
        <v>23.31</v>
      </c>
      <c r="M17" s="41">
        <f t="shared" si="5"/>
        <v>23.3</v>
      </c>
      <c r="N17" s="30">
        <f t="shared" si="6"/>
        <v>117.58536585365857</v>
      </c>
      <c r="O17" s="33">
        <f>0.59/24</f>
        <v>2.4583333333333332E-2</v>
      </c>
      <c r="P17" s="35">
        <v>117.35</v>
      </c>
      <c r="Q17" s="42">
        <f t="shared" si="7"/>
        <v>118</v>
      </c>
    </row>
    <row r="18" spans="1:17" x14ac:dyDescent="0.25">
      <c r="A18" s="29">
        <v>0.64</v>
      </c>
      <c r="B18" s="30">
        <f t="shared" si="0"/>
        <v>1028.48</v>
      </c>
      <c r="C18" s="31">
        <f>0.48/24</f>
        <v>0.02</v>
      </c>
      <c r="D18" s="32">
        <v>1028.28</v>
      </c>
      <c r="E18" s="39">
        <f t="shared" si="1"/>
        <v>1028</v>
      </c>
      <c r="F18" s="30">
        <f t="shared" si="2"/>
        <v>903.05560975609751</v>
      </c>
      <c r="G18" s="33">
        <f>0.06/24</f>
        <v>2.5000000000000001E-3</v>
      </c>
      <c r="H18" s="34">
        <v>903.03</v>
      </c>
      <c r="I18" s="40">
        <f t="shared" si="3"/>
        <v>903</v>
      </c>
      <c r="J18" s="30">
        <f t="shared" si="4"/>
        <v>25.084878048780485</v>
      </c>
      <c r="K18" s="33">
        <f>0.08/24</f>
        <v>3.3333333333333335E-3</v>
      </c>
      <c r="L18" s="34">
        <v>25.04</v>
      </c>
      <c r="M18" s="41">
        <f t="shared" si="5"/>
        <v>25</v>
      </c>
      <c r="N18" s="30">
        <f t="shared" si="6"/>
        <v>125.42439024390251</v>
      </c>
      <c r="O18" s="33">
        <f>0.42/24</f>
        <v>1.7499999999999998E-2</v>
      </c>
      <c r="P18" s="35">
        <v>125.25</v>
      </c>
      <c r="Q18" s="42">
        <f t="shared" si="7"/>
        <v>125</v>
      </c>
    </row>
    <row r="19" spans="1:17" x14ac:dyDescent="0.25">
      <c r="A19" s="29">
        <v>0.65</v>
      </c>
      <c r="B19" s="30">
        <f t="shared" si="0"/>
        <v>1044.55</v>
      </c>
      <c r="C19" s="31">
        <f>0.55/24</f>
        <v>2.2916666666666669E-2</v>
      </c>
      <c r="D19" s="32">
        <v>1044.33</v>
      </c>
      <c r="E19" s="39">
        <f t="shared" si="1"/>
        <v>1044</v>
      </c>
      <c r="F19" s="30">
        <f t="shared" si="2"/>
        <v>917.16585365853643</v>
      </c>
      <c r="G19" s="33">
        <f>0.17/24</f>
        <v>7.0833333333333338E-3</v>
      </c>
      <c r="H19" s="34">
        <v>917.1</v>
      </c>
      <c r="I19" s="40">
        <f t="shared" si="3"/>
        <v>917</v>
      </c>
      <c r="J19" s="30">
        <f t="shared" si="4"/>
        <v>25.476829268292679</v>
      </c>
      <c r="K19" s="33">
        <f>0.48/24</f>
        <v>0.02</v>
      </c>
      <c r="L19" s="34">
        <v>25.28</v>
      </c>
      <c r="M19" s="41">
        <v>25.25</v>
      </c>
      <c r="N19" s="30">
        <f t="shared" si="6"/>
        <v>127.38414634146352</v>
      </c>
      <c r="O19" s="33">
        <f>0.38/24</f>
        <v>1.5833333333333335E-2</v>
      </c>
      <c r="P19" s="35">
        <v>127.22</v>
      </c>
      <c r="Q19" s="42">
        <f t="shared" si="7"/>
        <v>127</v>
      </c>
    </row>
    <row r="20" spans="1:17" x14ac:dyDescent="0.25">
      <c r="A20" s="29">
        <v>0.7</v>
      </c>
      <c r="B20" s="30">
        <f>$B$25*A20</f>
        <v>1124.8999999999999</v>
      </c>
      <c r="C20" s="31">
        <f>0.9/24</f>
        <v>3.7499999999999999E-2</v>
      </c>
      <c r="D20" s="32">
        <v>1124.54</v>
      </c>
      <c r="E20" s="39">
        <f t="shared" si="1"/>
        <v>1124</v>
      </c>
      <c r="F20" s="30">
        <f t="shared" si="2"/>
        <v>987.71707317073151</v>
      </c>
      <c r="G20" s="33">
        <f>0.72/24</f>
        <v>0.03</v>
      </c>
      <c r="H20" s="34">
        <v>987.43</v>
      </c>
      <c r="I20" s="40">
        <f t="shared" si="3"/>
        <v>987</v>
      </c>
      <c r="J20" s="30">
        <f t="shared" si="4"/>
        <v>27.436585365853652</v>
      </c>
      <c r="K20" s="33">
        <f>0.44/24</f>
        <v>1.8333333333333333E-2</v>
      </c>
      <c r="L20" s="34">
        <v>27.26</v>
      </c>
      <c r="M20" s="41">
        <v>27.25</v>
      </c>
      <c r="N20" s="30">
        <f t="shared" si="6"/>
        <v>137.18292682926835</v>
      </c>
      <c r="O20" s="33">
        <f>0.18/24</f>
        <v>7.4999999999999997E-3</v>
      </c>
      <c r="P20" s="35">
        <v>137.1</v>
      </c>
      <c r="Q20" s="42">
        <f t="shared" si="7"/>
        <v>137</v>
      </c>
    </row>
    <row r="21" spans="1:17" x14ac:dyDescent="0.25">
      <c r="A21" s="29">
        <v>0.75</v>
      </c>
      <c r="B21" s="30">
        <f>$B$25*A21</f>
        <v>1205.25</v>
      </c>
      <c r="C21" s="31">
        <f>0.25/24</f>
        <v>1.0416666666666666E-2</v>
      </c>
      <c r="D21" s="32">
        <v>1205.1500000000001</v>
      </c>
      <c r="E21" s="39">
        <f t="shared" si="1"/>
        <v>1205</v>
      </c>
      <c r="F21" s="30">
        <f t="shared" si="2"/>
        <v>1058.2682926829268</v>
      </c>
      <c r="G21" s="33">
        <f>0.27/24</f>
        <v>1.1250000000000001E-2</v>
      </c>
      <c r="H21" s="34">
        <v>1058.1600000000001</v>
      </c>
      <c r="I21" s="40">
        <f t="shared" si="3"/>
        <v>1058</v>
      </c>
      <c r="J21" s="30">
        <f t="shared" si="4"/>
        <v>29.396341463414632</v>
      </c>
      <c r="K21" s="33">
        <f>0.4/24</f>
        <v>1.6666666666666666E-2</v>
      </c>
      <c r="L21" s="34">
        <v>29.24</v>
      </c>
      <c r="M21" s="41">
        <f t="shared" si="5"/>
        <v>29.2</v>
      </c>
      <c r="N21" s="30">
        <f t="shared" si="6"/>
        <v>146.98170731707319</v>
      </c>
      <c r="O21" s="33">
        <f>0.98/24</f>
        <v>4.0833333333333333E-2</v>
      </c>
      <c r="P21" s="35">
        <v>147</v>
      </c>
      <c r="Q21" s="42">
        <f t="shared" si="7"/>
        <v>147</v>
      </c>
    </row>
    <row r="22" spans="1:17" x14ac:dyDescent="0.25">
      <c r="A22" s="29">
        <v>0.8</v>
      </c>
      <c r="B22" s="30">
        <f>$B$25*A22</f>
        <v>1285.6000000000001</v>
      </c>
      <c r="C22" s="31">
        <f>0.6/24</f>
        <v>2.4999999999999998E-2</v>
      </c>
      <c r="D22" s="32">
        <v>1285.3599999999999</v>
      </c>
      <c r="E22" s="39">
        <f t="shared" si="1"/>
        <v>1285</v>
      </c>
      <c r="F22" s="30">
        <f t="shared" si="2"/>
        <v>1128.8195121951221</v>
      </c>
      <c r="G22" s="33">
        <f>0.82/24</f>
        <v>3.4166666666666665E-2</v>
      </c>
      <c r="H22" s="34">
        <v>1128.49</v>
      </c>
      <c r="I22" s="40">
        <f t="shared" si="3"/>
        <v>1128</v>
      </c>
      <c r="J22" s="30">
        <f t="shared" si="4"/>
        <v>31.356097560975613</v>
      </c>
      <c r="K22" s="33">
        <f>0.36/24</f>
        <v>1.4999999999999999E-2</v>
      </c>
      <c r="L22" s="34">
        <v>31.21</v>
      </c>
      <c r="M22" s="41">
        <f t="shared" si="5"/>
        <v>31.2</v>
      </c>
      <c r="N22" s="30">
        <f t="shared" si="6"/>
        <v>156.78048780487802</v>
      </c>
      <c r="O22" s="33">
        <f>0.78/24</f>
        <v>3.2500000000000001E-2</v>
      </c>
      <c r="P22" s="35">
        <v>156.78</v>
      </c>
      <c r="Q22" s="42">
        <f t="shared" si="7"/>
        <v>157</v>
      </c>
    </row>
    <row r="23" spans="1:17" x14ac:dyDescent="0.25">
      <c r="A23" s="29">
        <v>0.85</v>
      </c>
      <c r="B23" s="30">
        <f>$B$25*A23</f>
        <v>1365.95</v>
      </c>
      <c r="C23" s="31">
        <f>0.95/24</f>
        <v>3.9583333333333331E-2</v>
      </c>
      <c r="D23" s="32">
        <v>1365.57</v>
      </c>
      <c r="E23" s="39">
        <f t="shared" si="1"/>
        <v>1365</v>
      </c>
      <c r="F23" s="30">
        <f t="shared" si="2"/>
        <v>1199.3707317073172</v>
      </c>
      <c r="G23" s="33">
        <f>0.37/24</f>
        <v>1.5416666666666667E-2</v>
      </c>
      <c r="H23" s="34">
        <v>1199.22</v>
      </c>
      <c r="I23" s="40">
        <f t="shared" si="3"/>
        <v>1199</v>
      </c>
      <c r="J23" s="30">
        <f t="shared" si="4"/>
        <v>33.315853658536589</v>
      </c>
      <c r="K23" s="33">
        <f>0.32/24</f>
        <v>1.3333333333333334E-2</v>
      </c>
      <c r="L23" s="34">
        <v>33.19</v>
      </c>
      <c r="M23" s="41">
        <v>33.15</v>
      </c>
      <c r="N23" s="30">
        <f t="shared" si="6"/>
        <v>166.57926829268285</v>
      </c>
      <c r="O23" s="33">
        <f>0.58/24</f>
        <v>2.4166666666666666E-2</v>
      </c>
      <c r="P23" s="35">
        <v>166.34</v>
      </c>
      <c r="Q23" s="42">
        <f t="shared" si="7"/>
        <v>166</v>
      </c>
    </row>
    <row r="24" spans="1:17" x14ac:dyDescent="0.25">
      <c r="A24" s="29">
        <v>0.9</v>
      </c>
      <c r="B24" s="30">
        <f>$B$25*A24</f>
        <v>1446.3</v>
      </c>
      <c r="C24" s="31">
        <f>0.3/24</f>
        <v>1.2499999999999999E-2</v>
      </c>
      <c r="D24" s="32">
        <v>1446.18</v>
      </c>
      <c r="E24" s="39">
        <f t="shared" si="1"/>
        <v>1446</v>
      </c>
      <c r="F24" s="30">
        <f t="shared" si="2"/>
        <v>1269.921951219512</v>
      </c>
      <c r="G24" s="33">
        <f>0.92/24</f>
        <v>3.8333333333333337E-2</v>
      </c>
      <c r="H24" s="34">
        <v>1269.55</v>
      </c>
      <c r="I24" s="40">
        <f t="shared" si="3"/>
        <v>1269</v>
      </c>
      <c r="J24" s="30">
        <f t="shared" si="4"/>
        <v>35.275609756097559</v>
      </c>
      <c r="K24" s="33">
        <f>0.28/24</f>
        <v>1.1666666666666667E-2</v>
      </c>
      <c r="L24" s="34">
        <v>35.159999999999997</v>
      </c>
      <c r="M24" s="41">
        <v>35.15</v>
      </c>
      <c r="N24" s="30">
        <f t="shared" si="6"/>
        <v>176.37804878048792</v>
      </c>
      <c r="O24" s="33">
        <f>0.38/24</f>
        <v>1.5833333333333335E-2</v>
      </c>
      <c r="P24" s="35">
        <v>176.22</v>
      </c>
      <c r="Q24" s="42">
        <f t="shared" si="7"/>
        <v>177</v>
      </c>
    </row>
    <row r="25" spans="1:17" x14ac:dyDescent="0.25">
      <c r="A25" s="29">
        <v>1</v>
      </c>
      <c r="B25" s="30">
        <v>1607</v>
      </c>
      <c r="C25" s="31">
        <v>0</v>
      </c>
      <c r="D25" s="32">
        <v>1607</v>
      </c>
      <c r="E25" s="39">
        <f>ROUNDDOWN(D25,0)</f>
        <v>1607</v>
      </c>
      <c r="F25" s="30">
        <f t="shared" si="2"/>
        <v>1411.0243902439024</v>
      </c>
      <c r="G25" s="33">
        <f>0.02/24</f>
        <v>8.3333333333333339E-4</v>
      </c>
      <c r="H25" s="34">
        <v>1411.01</v>
      </c>
      <c r="I25" s="40">
        <f>ROUNDDOWN(H25,0)</f>
        <v>1411</v>
      </c>
      <c r="J25" s="30">
        <f>F25/36</f>
        <v>39.195121951219512</v>
      </c>
      <c r="K25" s="33">
        <f>0.2/24</f>
        <v>8.3333333333333332E-3</v>
      </c>
      <c r="L25" s="34">
        <v>39.119999999999997</v>
      </c>
      <c r="M25" s="41">
        <f>ROUNDDOWN(L25,1)</f>
        <v>39.1</v>
      </c>
      <c r="N25" s="30">
        <f t="shared" si="6"/>
        <v>195.97560975609758</v>
      </c>
      <c r="O25" s="33">
        <f>0.98/24</f>
        <v>4.0833333333333333E-2</v>
      </c>
      <c r="P25" s="35">
        <v>196</v>
      </c>
      <c r="Q25" s="42">
        <f t="shared" si="7"/>
        <v>196</v>
      </c>
    </row>
    <row r="34" spans="3:3" x14ac:dyDescent="0.25">
      <c r="C34" s="36"/>
    </row>
    <row r="35" spans="3:3" x14ac:dyDescent="0.25">
      <c r="C35" s="36"/>
    </row>
  </sheetData>
  <mergeCells count="5">
    <mergeCell ref="A2:P2"/>
    <mergeCell ref="B6:E6"/>
    <mergeCell ref="F6:I6"/>
    <mergeCell ref="J6:M6"/>
    <mergeCell ref="N6:Q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&amp;L&amp;"-,Gras italique"&amp;8Rectorat de Bordeaux
DEPP1 - Bureau coordination paye&amp;R&amp;D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AESH</vt:lpstr>
      <vt:lpstr>emploi du temps connexes</vt:lpstr>
      <vt:lpstr>tableau des quotités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Celine VIGNEAUD</dc:creator>
  <cp:lastModifiedBy>Gabriel KIRCHNER</cp:lastModifiedBy>
  <cp:lastPrinted>2020-06-10T07:12:46Z</cp:lastPrinted>
  <dcterms:created xsi:type="dcterms:W3CDTF">2020-03-30T09:25:30Z</dcterms:created>
  <dcterms:modified xsi:type="dcterms:W3CDTF">2024-12-13T09:01:20Z</dcterms:modified>
</cp:coreProperties>
</file>