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P:\DPASCO\00-DPASCO_1\AESH_guide academique\Guide AESH janvier 2025\Annexes du guide\"/>
    </mc:Choice>
  </mc:AlternateContent>
  <xr:revisionPtr revIDLastSave="0" documentId="13_ncr:1_{8E49F603-9937-467D-84EC-494755B3DE0D}" xr6:coauthVersionLast="47" xr6:coauthVersionMax="47" xr10:uidLastSave="{00000000-0000-0000-0000-000000000000}"/>
  <bookViews>
    <workbookView xWindow="28680" yWindow="-120" windowWidth="29040" windowHeight="15720" activeTab="1" xr2:uid="{00000000-000D-0000-FFFF-FFFF00000000}"/>
  </bookViews>
  <sheets>
    <sheet name="AESH" sheetId="1" r:id="rId1"/>
    <sheet name="emploi du temps élèves" sheetId="3" r:id="rId2"/>
    <sheet name="tableau des quotités" sheetId="5" r:id="rId3"/>
  </sheets>
  <definedNames>
    <definedName name="_xlnm.Print_Area" localSheetId="1">'emploi du temps élèves'!$A$1:$O$52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3" i="3" l="1"/>
  <c r="M33" i="3"/>
  <c r="N33" i="3"/>
  <c r="O33" i="3"/>
  <c r="K33" i="3"/>
  <c r="D33" i="3"/>
  <c r="E33" i="3"/>
  <c r="F33" i="3"/>
  <c r="G33" i="3"/>
  <c r="C33" i="3"/>
  <c r="O10" i="5"/>
  <c r="K10" i="5"/>
  <c r="G10" i="5"/>
  <c r="E10" i="5"/>
  <c r="Q10" i="5" s="1"/>
  <c r="C10" i="5"/>
  <c r="B10" i="5"/>
  <c r="M7" i="5"/>
  <c r="M8" i="5"/>
  <c r="M11" i="5"/>
  <c r="M12" i="5"/>
  <c r="M13" i="5"/>
  <c r="M16" i="5"/>
  <c r="M17" i="5"/>
  <c r="M18" i="5"/>
  <c r="M21" i="5"/>
  <c r="M22" i="5"/>
  <c r="M25" i="5"/>
  <c r="I7" i="5"/>
  <c r="I8" i="5"/>
  <c r="I9" i="5"/>
  <c r="I11" i="5"/>
  <c r="I12" i="5"/>
  <c r="I13" i="5"/>
  <c r="I14" i="5"/>
  <c r="I15" i="5"/>
  <c r="I16" i="5"/>
  <c r="I17" i="5"/>
  <c r="I18" i="5"/>
  <c r="I19" i="5"/>
  <c r="I20" i="5"/>
  <c r="I21" i="5"/>
  <c r="I22" i="5"/>
  <c r="I23" i="5"/>
  <c r="I24" i="5"/>
  <c r="I25" i="5"/>
  <c r="E7" i="5"/>
  <c r="Q7" i="5" s="1"/>
  <c r="E8" i="5"/>
  <c r="Q8" i="5" s="1"/>
  <c r="E9" i="5"/>
  <c r="Q9" i="5" s="1"/>
  <c r="E11" i="5"/>
  <c r="E12" i="5"/>
  <c r="Q12" i="5" s="1"/>
  <c r="E13" i="5"/>
  <c r="E14" i="5"/>
  <c r="E15" i="5"/>
  <c r="E16" i="5"/>
  <c r="E17" i="5"/>
  <c r="Q17" i="5" s="1"/>
  <c r="E18" i="5"/>
  <c r="Q18" i="5" s="1"/>
  <c r="E19" i="5"/>
  <c r="Q19" i="5" s="1"/>
  <c r="E20" i="5"/>
  <c r="Q20" i="5" s="1"/>
  <c r="E21" i="5"/>
  <c r="Q21" i="5" s="1"/>
  <c r="E22" i="5"/>
  <c r="Q22" i="5" s="1"/>
  <c r="E23" i="5"/>
  <c r="E24" i="5"/>
  <c r="Q24" i="5" s="1"/>
  <c r="E25" i="5"/>
  <c r="O25" i="5"/>
  <c r="Q16" i="5" l="1"/>
  <c r="Q15" i="5"/>
  <c r="Q14" i="5"/>
  <c r="Q25" i="5"/>
  <c r="Q13" i="5"/>
  <c r="Q23" i="5"/>
  <c r="Q11" i="5"/>
  <c r="F10" i="5"/>
  <c r="J10" i="5" s="1"/>
  <c r="K25" i="5"/>
  <c r="G25" i="5"/>
  <c r="F25" i="5"/>
  <c r="N25" i="5" s="1"/>
  <c r="O24" i="5"/>
  <c r="K24" i="5"/>
  <c r="G24" i="5"/>
  <c r="C24" i="5"/>
  <c r="B24" i="5"/>
  <c r="O23" i="5"/>
  <c r="K23" i="5"/>
  <c r="G23" i="5"/>
  <c r="C23" i="5"/>
  <c r="B23" i="5"/>
  <c r="O22" i="5"/>
  <c r="K22" i="5"/>
  <c r="G22" i="5"/>
  <c r="C22" i="5"/>
  <c r="B22" i="5"/>
  <c r="O21" i="5"/>
  <c r="K21" i="5"/>
  <c r="G21" i="5"/>
  <c r="C21" i="5"/>
  <c r="B21" i="5"/>
  <c r="O20" i="5"/>
  <c r="K20" i="5"/>
  <c r="G20" i="5"/>
  <c r="C20" i="5"/>
  <c r="B20" i="5"/>
  <c r="O19" i="5"/>
  <c r="K19" i="5"/>
  <c r="G19" i="5"/>
  <c r="C19" i="5"/>
  <c r="B19" i="5"/>
  <c r="O18" i="5"/>
  <c r="K18" i="5"/>
  <c r="G18" i="5"/>
  <c r="C18" i="5"/>
  <c r="B18" i="5"/>
  <c r="O17" i="5"/>
  <c r="K17" i="5"/>
  <c r="G17" i="5"/>
  <c r="C17" i="5"/>
  <c r="B17" i="5"/>
  <c r="O16" i="5"/>
  <c r="K16" i="5"/>
  <c r="G16" i="5"/>
  <c r="C16" i="5"/>
  <c r="B16" i="5"/>
  <c r="O15" i="5"/>
  <c r="K15" i="5"/>
  <c r="G15" i="5"/>
  <c r="C15" i="5"/>
  <c r="B15" i="5"/>
  <c r="O14" i="5"/>
  <c r="K14" i="5"/>
  <c r="G14" i="5"/>
  <c r="C14" i="5"/>
  <c r="B14" i="5"/>
  <c r="O13" i="5"/>
  <c r="K13" i="5"/>
  <c r="G13" i="5"/>
  <c r="C13" i="5"/>
  <c r="B13" i="5"/>
  <c r="O12" i="5"/>
  <c r="K12" i="5"/>
  <c r="G12" i="5"/>
  <c r="C12" i="5"/>
  <c r="B12" i="5"/>
  <c r="O11" i="5"/>
  <c r="K11" i="5"/>
  <c r="G11" i="5"/>
  <c r="C11" i="5"/>
  <c r="B11" i="5"/>
  <c r="O9" i="5"/>
  <c r="K9" i="5"/>
  <c r="G9" i="5"/>
  <c r="C9" i="5"/>
  <c r="B9" i="5"/>
  <c r="O8" i="5"/>
  <c r="K8" i="5"/>
  <c r="G8" i="5"/>
  <c r="C8" i="5"/>
  <c r="B8" i="5"/>
  <c r="O7" i="5"/>
  <c r="K7" i="5"/>
  <c r="G7" i="5"/>
  <c r="C7" i="5"/>
  <c r="B7" i="5"/>
  <c r="N10" i="5" l="1"/>
  <c r="F7" i="5"/>
  <c r="J7" i="5" s="1"/>
  <c r="F8" i="5"/>
  <c r="J8" i="5" s="1"/>
  <c r="F9" i="5"/>
  <c r="J9" i="5" s="1"/>
  <c r="F11" i="5"/>
  <c r="J11" i="5" s="1"/>
  <c r="F12" i="5"/>
  <c r="J12" i="5" s="1"/>
  <c r="F13" i="5"/>
  <c r="J13" i="5" s="1"/>
  <c r="F14" i="5"/>
  <c r="J14" i="5" s="1"/>
  <c r="F15" i="5"/>
  <c r="J15" i="5" s="1"/>
  <c r="F16" i="5"/>
  <c r="J16" i="5" s="1"/>
  <c r="F17" i="5"/>
  <c r="J17" i="5" s="1"/>
  <c r="F18" i="5"/>
  <c r="J18" i="5" s="1"/>
  <c r="F19" i="5"/>
  <c r="J19" i="5" s="1"/>
  <c r="F20" i="5"/>
  <c r="J20" i="5" s="1"/>
  <c r="F21" i="5"/>
  <c r="J21" i="5" s="1"/>
  <c r="F22" i="5"/>
  <c r="J22" i="5" s="1"/>
  <c r="F23" i="5"/>
  <c r="J23" i="5" s="1"/>
  <c r="F24" i="5"/>
  <c r="J24" i="5" s="1"/>
  <c r="J25" i="5"/>
  <c r="N23" i="5" l="1"/>
  <c r="N19" i="5"/>
  <c r="N15" i="5"/>
  <c r="N11" i="5"/>
  <c r="N22" i="5"/>
  <c r="N18" i="5"/>
  <c r="N14" i="5"/>
  <c r="N9" i="5"/>
  <c r="N24" i="5"/>
  <c r="N20" i="5"/>
  <c r="N16" i="5"/>
  <c r="N12" i="5"/>
  <c r="N7" i="5"/>
  <c r="N21" i="5"/>
  <c r="N17" i="5"/>
  <c r="N13" i="5"/>
  <c r="N8" i="5"/>
  <c r="M17" i="3" l="1"/>
  <c r="K17" i="3"/>
  <c r="E17" i="3"/>
  <c r="C17" i="3"/>
  <c r="J12" i="3"/>
  <c r="B12" i="3"/>
  <c r="I8" i="3"/>
  <c r="A8" i="3"/>
  <c r="B5" i="3"/>
  <c r="K34" i="3" l="1"/>
  <c r="C34" i="3"/>
  <c r="C36" i="3" l="1"/>
</calcChain>
</file>

<file path=xl/sharedStrings.xml><?xml version="1.0" encoding="utf-8"?>
<sst xmlns="http://schemas.openxmlformats.org/spreadsheetml/2006/main" count="111" uniqueCount="67">
  <si>
    <t>LUNDI</t>
  </si>
  <si>
    <t>MARDI</t>
  </si>
  <si>
    <t>MERCREDI</t>
  </si>
  <si>
    <t>JEUDI</t>
  </si>
  <si>
    <t>VENDREDI</t>
  </si>
  <si>
    <t>NOM et prénom de l'AESH :</t>
  </si>
  <si>
    <t>Elève(s) suivi(s) :</t>
  </si>
  <si>
    <t>Etablissement(s) d'affectation (indiquer le(s) nom(s) et le(s) RNE) :</t>
  </si>
  <si>
    <t>Quotité de travail du contrat :</t>
  </si>
  <si>
    <r>
      <rPr>
        <b/>
        <sz val="11"/>
        <rFont val="Calibri"/>
        <family val="2"/>
        <scheme val="minor"/>
      </rPr>
      <t>Accompagnant des Elèves en Situation de Handicap (AESH)</t>
    </r>
    <r>
      <rPr>
        <b/>
        <sz val="11"/>
        <color rgb="FF002060"/>
        <rFont val="Calibri"/>
        <family val="2"/>
        <scheme val="minor"/>
      </rPr>
      <t xml:space="preserve">
</t>
    </r>
    <r>
      <rPr>
        <b/>
        <u/>
        <sz val="11"/>
        <color rgb="FF002060"/>
        <rFont val="Calibri"/>
        <family val="2"/>
        <scheme val="minor"/>
      </rPr>
      <t>EMPLOI DU TEMPS</t>
    </r>
  </si>
  <si>
    <t>Nom de l'Etablissement PIAL :</t>
  </si>
  <si>
    <t xml:space="preserve">Quotité effectuée dans l'établissement : </t>
  </si>
  <si>
    <t>Etablissement d'affectation :</t>
  </si>
  <si>
    <t>Accompagnement pendant le temps de repas de l'élève</t>
  </si>
  <si>
    <t>Pause-déjeuner de l'AESH</t>
  </si>
  <si>
    <t>Total heures journalières</t>
  </si>
  <si>
    <t>de</t>
  </si>
  <si>
    <t>à</t>
  </si>
  <si>
    <t>Horaires</t>
  </si>
  <si>
    <t>Prise en charge par les services de soins</t>
  </si>
  <si>
    <t>Horaires en présence de l'élève (nom et prénom de l'élève) :</t>
  </si>
  <si>
    <t>Total hebdomadaire dans l'établissement</t>
  </si>
  <si>
    <t>Signature de l'AESH</t>
  </si>
  <si>
    <t>Tampon et Signature du directeur d'école ou du chef d'établissement d'affectation</t>
  </si>
  <si>
    <t>Horaires hebdomadaires</t>
  </si>
  <si>
    <t>Heures hebdomadaires effectives :</t>
  </si>
  <si>
    <t>13 h 40</t>
  </si>
  <si>
    <t>ANNÉE SCOLAIRE :</t>
  </si>
  <si>
    <t xml:space="preserve">Emploi du temps initial </t>
  </si>
  <si>
    <r>
      <t xml:space="preserve">Préciser le </t>
    </r>
    <r>
      <rPr>
        <u/>
        <sz val="11"/>
        <color theme="1"/>
        <rFont val="Calibri"/>
        <family val="2"/>
        <scheme val="minor"/>
      </rPr>
      <t>département d'affectation</t>
    </r>
    <r>
      <rPr>
        <sz val="11"/>
        <color theme="1"/>
        <rFont val="Calibri"/>
        <family val="2"/>
        <scheme val="minor"/>
      </rPr>
      <t xml:space="preserve"> :           </t>
    </r>
    <r>
      <rPr>
        <sz val="11"/>
        <color theme="1"/>
        <rFont val="Calibri"/>
        <family val="2"/>
      </rPr>
      <t>24          33          40          47          64</t>
    </r>
  </si>
  <si>
    <t>Ecole X (Rne : 0240045u)</t>
  </si>
  <si>
    <t>Ecole Y (Rne : 0240046v)</t>
  </si>
  <si>
    <t>Collège W</t>
  </si>
  <si>
    <t>DUPONT Olivier</t>
  </si>
  <si>
    <t>Elève X</t>
  </si>
  <si>
    <t>Elève Y</t>
  </si>
  <si>
    <r>
      <t xml:space="preserve">Avec accompagnement pendant le repas de l'élève notifié par la CDAPH :     </t>
    </r>
    <r>
      <rPr>
        <b/>
        <sz val="11"/>
        <color theme="1"/>
        <rFont val="Calibri"/>
        <family val="2"/>
      </rPr>
      <t xml:space="preserve">   </t>
    </r>
    <r>
      <rPr>
        <b/>
        <sz val="11"/>
        <color theme="1"/>
        <rFont val="Calibri"/>
        <family val="2"/>
        <scheme val="minor"/>
      </rPr>
      <t xml:space="preserve">oui          non  </t>
    </r>
  </si>
  <si>
    <r>
      <t xml:space="preserve">Avec accompagnement pendant le repas de l'élève notifié par la CDAPH :     </t>
    </r>
    <r>
      <rPr>
        <b/>
        <sz val="11"/>
        <color theme="1"/>
        <rFont val="Calibri"/>
        <family val="2"/>
      </rPr>
      <t xml:space="preserve">   </t>
    </r>
    <r>
      <rPr>
        <b/>
        <sz val="11"/>
        <color theme="1"/>
        <rFont val="Calibri"/>
        <family val="2"/>
        <scheme val="minor"/>
      </rPr>
      <t xml:space="preserve">oui         non  </t>
    </r>
  </si>
  <si>
    <t>HEURES EFFECTUÉES EN PRESENCE ELEVE(S)</t>
  </si>
  <si>
    <t>Cellules bleues à compléter</t>
  </si>
  <si>
    <t>du</t>
  </si>
  <si>
    <t>au</t>
  </si>
  <si>
    <t>Période concernée :</t>
  </si>
  <si>
    <t>Accompagnement de l'élève 
l'après-midi</t>
  </si>
  <si>
    <t>Accompagnement de l'élève 
le matin</t>
  </si>
  <si>
    <t>TOTAL heures hebdomadaires effectives</t>
  </si>
  <si>
    <r>
      <rPr>
        <b/>
        <u/>
        <sz val="11"/>
        <color theme="1"/>
        <rFont val="Calibri"/>
        <family val="2"/>
        <scheme val="minor"/>
      </rPr>
      <t>Les emplois du temps annexés comprennent</t>
    </r>
    <r>
      <rPr>
        <sz val="11"/>
        <color theme="1"/>
        <rFont val="Calibri"/>
        <family val="2"/>
        <scheme val="minor"/>
      </rPr>
      <t xml:space="preserve"> :</t>
    </r>
  </si>
  <si>
    <t xml:space="preserve">Période concernée : </t>
  </si>
  <si>
    <t>27 h 25</t>
  </si>
  <si>
    <t>TABLEAU DE CONVERSION DES QUOTITES HORAIRES DES AESH</t>
  </si>
  <si>
    <t>Quotité</t>
  </si>
  <si>
    <t>Nbre d’heures effectives annuelles</t>
  </si>
  <si>
    <r>
      <t xml:space="preserve">Dont Heures annuelles </t>
    </r>
    <r>
      <rPr>
        <b/>
        <sz val="11"/>
        <color rgb="FFFF0000"/>
        <rFont val="Calibri"/>
        <family val="2"/>
        <scheme val="minor"/>
      </rPr>
      <t>présences élèves</t>
    </r>
    <r>
      <rPr>
        <b/>
        <sz val="11"/>
        <color theme="1"/>
        <rFont val="Calibri"/>
        <family val="2"/>
        <scheme val="minor"/>
      </rPr>
      <t xml:space="preserve"> </t>
    </r>
  </si>
  <si>
    <r>
      <t xml:space="preserve">Nbre d’heures effectives hebdomadaires 
</t>
    </r>
    <r>
      <rPr>
        <b/>
        <sz val="11"/>
        <color rgb="FFFF0000"/>
        <rFont val="Calibri"/>
        <family val="2"/>
        <scheme val="minor"/>
      </rPr>
      <t xml:space="preserve">présences élèves </t>
    </r>
  </si>
  <si>
    <r>
      <t xml:space="preserve">Dont Heures annuelles </t>
    </r>
    <r>
      <rPr>
        <b/>
        <sz val="11"/>
        <color rgb="FFFF0000"/>
        <rFont val="Calibri"/>
        <family val="2"/>
        <scheme val="minor"/>
      </rPr>
      <t>activités connexes</t>
    </r>
  </si>
  <si>
    <t>Emploi du temps modifié le :</t>
  </si>
  <si>
    <t>Nbre d'heures hebdo en présence élèves à effectuer :</t>
  </si>
  <si>
    <r>
      <t xml:space="preserve">La zone d'intervention de l'AESH correspond aux différents établissements ou écoles compris dans le PIAL.
</t>
    </r>
    <r>
      <rPr>
        <b/>
        <sz val="11"/>
        <color theme="1"/>
        <rFont val="Calibri"/>
        <family val="2"/>
        <scheme val="minor"/>
      </rPr>
      <t xml:space="preserve">La gestion des emplois du temps est assurée par le coordonnateur du PIAL. </t>
    </r>
    <r>
      <rPr>
        <sz val="11"/>
        <color theme="1"/>
        <rFont val="Calibri"/>
        <family val="2"/>
        <scheme val="minor"/>
      </rPr>
      <t xml:space="preserve">L’emploi du temps est élaboré à partir du projet personnalisé de scolarisation des élèves (en fonction des jours, heures de présence des élèves dans l’établissement, des prises en charge par les services de soins...). 
Le coordonnateur du PIAL peut modifier les emplois du temps des AESH au cours de l’année scolaire de manière ponctuelle ou durable, en concertation avec l’équipe pédagogique, lorsque les besoins de l’élève évoluent pendant l’année scolaire (sorties scolaires sans nuitée, absence d’un élève, d’un enseignant ou d’un AESH du PIAL, périodes de formation en milieu professionnel, période d’examen...).
</t>
    </r>
  </si>
  <si>
    <t>- Le temps de services devant élèves,</t>
  </si>
  <si>
    <t>- Le temps d'accompagnement pendant le repas de l'élève notifié par la CDAPH,</t>
  </si>
  <si>
    <t>- Le temps nécessaire de déplacement entre deux lieux dans le cadre d'un service partagé.</t>
  </si>
  <si>
    <t>- Le temps de pause-déjeuner de l'AESH qui n'est pas du temps de travail effectif,</t>
  </si>
  <si>
    <t>REP</t>
  </si>
  <si>
    <t>REP+</t>
  </si>
  <si>
    <t>Cet emploi du temps ne comprend pas le crédit d'heures hors présence élèves, dites heures connexes, prévues au contrat et permettant de réaliser les activités telles que le temps nécessaire de déplacement entre deux lieux dans le cadre d'un service partagé, la participation aux ESS, les conseils de classe, les réunions, les formations, les concertations avec les enseignants etc...</t>
  </si>
  <si>
    <r>
      <rPr>
        <u/>
        <sz val="11"/>
        <color theme="1"/>
        <rFont val="Calibri"/>
        <family val="2"/>
        <scheme val="minor"/>
      </rPr>
      <t>Employeur</t>
    </r>
    <r>
      <rPr>
        <sz val="11"/>
        <color theme="1"/>
        <rFont val="Calibri"/>
        <family val="2"/>
        <scheme val="minor"/>
      </rPr>
      <t xml:space="preserve"> :      </t>
    </r>
    <r>
      <rPr>
        <sz val="11"/>
        <color theme="1"/>
        <rFont val="Calibri"/>
        <family val="2"/>
      </rPr>
      <t xml:space="preserve">   </t>
    </r>
    <r>
      <rPr>
        <sz val="11"/>
        <color theme="1"/>
        <rFont val="Calibri"/>
        <family val="2"/>
        <scheme val="minor"/>
      </rPr>
      <t xml:space="preserve">DSDEN     </t>
    </r>
  </si>
  <si>
    <t>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</si>
</sst>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mm"/>
    <numFmt numFmtId="165" formatCode="h:mm;@"/>
  </numFmts>
  <fonts count="18"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font>
    <font>
      <b/>
      <sz val="11"/>
      <name val="Calibri"/>
      <family val="2"/>
      <scheme val="minor"/>
    </font>
    <font>
      <b/>
      <sz val="11"/>
      <color rgb="FF002060"/>
      <name val="Calibri"/>
      <family val="2"/>
      <scheme val="minor"/>
    </font>
    <font>
      <b/>
      <u/>
      <sz val="11"/>
      <color rgb="FF002060"/>
      <name val="Calibri"/>
      <family val="2"/>
      <scheme val="minor"/>
    </font>
    <font>
      <u/>
      <sz val="11"/>
      <color theme="1"/>
      <name val="Calibri"/>
      <family val="2"/>
      <scheme val="minor"/>
    </font>
    <font>
      <sz val="11.5"/>
      <color theme="1"/>
      <name val="Calibri"/>
      <family val="2"/>
      <scheme val="minor"/>
    </font>
    <font>
      <b/>
      <sz val="11"/>
      <color theme="1"/>
      <name val="Calibri"/>
      <family val="2"/>
    </font>
    <font>
      <sz val="10"/>
      <name val="Arial"/>
      <family val="2"/>
    </font>
    <font>
      <b/>
      <sz val="10"/>
      <name val="Arial"/>
      <family val="2"/>
    </font>
    <font>
      <b/>
      <i/>
      <sz val="11"/>
      <color theme="1"/>
      <name val="Calibri"/>
      <family val="2"/>
      <scheme val="minor"/>
    </font>
    <font>
      <sz val="11"/>
      <color rgb="FF002060"/>
      <name val="Calibri"/>
      <family val="2"/>
      <scheme val="minor"/>
    </font>
    <font>
      <b/>
      <u/>
      <sz val="11"/>
      <color theme="1"/>
      <name val="Calibri"/>
      <family val="2"/>
      <scheme val="minor"/>
    </font>
    <font>
      <b/>
      <sz val="11"/>
      <color rgb="FFC00000"/>
      <name val="Calibri"/>
      <family val="2"/>
      <scheme val="minor"/>
    </font>
    <font>
      <b/>
      <sz val="14"/>
      <color rgb="FFC00000"/>
      <name val="Calibri"/>
      <family val="2"/>
      <scheme val="minor"/>
    </font>
    <font>
      <b/>
      <sz val="11"/>
      <color rgb="FFFF0000"/>
      <name val="Calibri"/>
      <family val="2"/>
      <scheme val="minor"/>
    </font>
  </fonts>
  <fills count="9">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bgColor indexed="64"/>
      </patternFill>
    </fill>
  </fills>
  <borders count="28">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3" tint="-0.24994659260841701"/>
      </left>
      <right/>
      <top style="medium">
        <color theme="3" tint="-0.24994659260841701"/>
      </top>
      <bottom/>
      <diagonal/>
    </border>
    <border>
      <left/>
      <right style="medium">
        <color theme="3" tint="-0.24994659260841701"/>
      </right>
      <top style="medium">
        <color theme="3" tint="-0.24994659260841701"/>
      </top>
      <bottom/>
      <diagonal/>
    </border>
    <border>
      <left style="medium">
        <color theme="3" tint="-0.24994659260841701"/>
      </left>
      <right/>
      <top/>
      <bottom/>
      <diagonal/>
    </border>
    <border>
      <left/>
      <right style="medium">
        <color theme="3" tint="-0.24994659260841701"/>
      </right>
      <top/>
      <bottom/>
      <diagonal/>
    </border>
    <border>
      <left style="medium">
        <color theme="3" tint="-0.24994659260841701"/>
      </left>
      <right/>
      <top/>
      <bottom style="medium">
        <color theme="3" tint="-0.24994659260841701"/>
      </bottom>
      <diagonal/>
    </border>
    <border>
      <left/>
      <right style="medium">
        <color theme="3" tint="-0.24994659260841701"/>
      </right>
      <top/>
      <bottom style="medium">
        <color theme="3" tint="-0.24994659260841701"/>
      </bottom>
      <diagonal/>
    </border>
    <border>
      <left/>
      <right/>
      <top/>
      <bottom style="hair">
        <color auto="1"/>
      </bottom>
      <diagonal/>
    </border>
    <border>
      <left style="medium">
        <color indexed="64"/>
      </left>
      <right/>
      <top style="medium">
        <color indexed="64"/>
      </top>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bottom/>
      <diagonal/>
    </border>
    <border>
      <left/>
      <right style="medium">
        <color indexed="64"/>
      </right>
      <top/>
      <bottom style="hair">
        <color auto="1"/>
      </bottom>
      <diagonal/>
    </border>
    <border>
      <left style="medium">
        <color indexed="64"/>
      </left>
      <right/>
      <top/>
      <bottom style="hair">
        <color auto="1"/>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auto="1"/>
      </top>
      <bottom style="hair">
        <color auto="1"/>
      </bottom>
      <diagonal/>
    </border>
    <border>
      <left/>
      <right style="medium">
        <color indexed="64"/>
      </right>
      <top style="hair">
        <color auto="1"/>
      </top>
      <bottom style="hair">
        <color auto="1"/>
      </bottom>
      <diagonal/>
    </border>
  </borders>
  <cellStyleXfs count="1">
    <xf numFmtId="0" fontId="0" fillId="0" borderId="0"/>
  </cellStyleXfs>
  <cellXfs count="122">
    <xf numFmtId="0" fontId="0" fillId="0" borderId="0" xfId="0"/>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1" xfId="0" applyFont="1" applyFill="1" applyBorder="1" applyAlignment="1">
      <alignment horizontal="left" vertical="center"/>
    </xf>
    <xf numFmtId="0" fontId="0"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0" xfId="0" applyFont="1" applyAlignment="1">
      <alignment vertical="center"/>
    </xf>
    <xf numFmtId="0" fontId="0" fillId="0" borderId="0" xfId="0" applyFont="1" applyAlignment="1">
      <alignment horizontal="center" vertical="center"/>
    </xf>
    <xf numFmtId="0" fontId="0" fillId="0" borderId="0" xfId="0" applyAlignment="1">
      <alignment vertical="center"/>
    </xf>
    <xf numFmtId="0" fontId="0" fillId="0" borderId="5" xfId="0" applyFont="1" applyBorder="1" applyAlignment="1">
      <alignment horizontal="center" vertical="center" wrapText="1"/>
    </xf>
    <xf numFmtId="0" fontId="0" fillId="0" borderId="0" xfId="0" applyFont="1" applyBorder="1" applyAlignment="1">
      <alignment horizontal="left" vertical="center" wrapText="1"/>
    </xf>
    <xf numFmtId="164" fontId="10" fillId="0" borderId="0" xfId="0" applyNumberFormat="1" applyFont="1" applyFill="1" applyBorder="1" applyAlignment="1" applyProtection="1">
      <alignment horizontal="center" vertical="center"/>
      <protection locked="0"/>
    </xf>
    <xf numFmtId="0" fontId="0" fillId="0" borderId="0" xfId="0" applyFont="1" applyBorder="1" applyAlignment="1">
      <alignment vertical="center"/>
    </xf>
    <xf numFmtId="0" fontId="0" fillId="0" borderId="0" xfId="0" applyFont="1" applyBorder="1" applyAlignment="1">
      <alignment horizontal="center" vertical="center" wrapText="1"/>
    </xf>
    <xf numFmtId="0" fontId="0" fillId="0" borderId="4" xfId="0" applyFont="1" applyBorder="1" applyAlignment="1">
      <alignment horizontal="center" vertical="center" wrapText="1"/>
    </xf>
    <xf numFmtId="0" fontId="0" fillId="0" borderId="0" xfId="0" applyAlignment="1">
      <alignment horizontal="center" vertical="center"/>
    </xf>
    <xf numFmtId="164" fontId="10" fillId="3" borderId="4" xfId="0" applyNumberFormat="1" applyFont="1" applyFill="1" applyBorder="1" applyAlignment="1" applyProtection="1">
      <alignment horizontal="center" vertical="center"/>
      <protection locked="0"/>
    </xf>
    <xf numFmtId="0" fontId="1" fillId="4" borderId="4" xfId="0" applyFont="1" applyFill="1" applyBorder="1" applyAlignment="1">
      <alignment horizontal="center" vertical="center"/>
    </xf>
    <xf numFmtId="164" fontId="11" fillId="4" borderId="4" xfId="0" applyNumberFormat="1" applyFont="1" applyFill="1" applyBorder="1" applyAlignment="1" applyProtection="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0" fillId="2" borderId="0" xfId="0" applyFill="1" applyAlignment="1">
      <alignment vertical="center"/>
    </xf>
    <xf numFmtId="0" fontId="0" fillId="0" borderId="0" xfId="0" applyFill="1" applyAlignment="1">
      <alignment vertical="center"/>
    </xf>
    <xf numFmtId="0" fontId="0" fillId="0" borderId="0" xfId="0" applyFont="1" applyFill="1" applyAlignment="1">
      <alignment vertical="center"/>
    </xf>
    <xf numFmtId="0" fontId="5" fillId="0" borderId="0" xfId="0" applyFont="1" applyAlignment="1">
      <alignment horizontal="center" vertical="center"/>
    </xf>
    <xf numFmtId="0" fontId="13" fillId="0" borderId="0" xfId="0" applyFont="1" applyAlignment="1">
      <alignment vertical="center"/>
    </xf>
    <xf numFmtId="0" fontId="1" fillId="3" borderId="4" xfId="0" applyFont="1" applyFill="1" applyBorder="1" applyAlignment="1">
      <alignment horizontal="center" vertical="center"/>
    </xf>
    <xf numFmtId="9" fontId="1" fillId="3" borderId="4" xfId="0" applyNumberFormat="1"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1" fillId="0" borderId="0" xfId="0" applyFont="1" applyAlignment="1">
      <alignment horizontal="right" vertical="center"/>
    </xf>
    <xf numFmtId="0" fontId="0" fillId="0" borderId="15" xfId="0" applyFont="1" applyFill="1" applyBorder="1" applyAlignment="1">
      <alignment horizontal="left" vertical="center"/>
    </xf>
    <xf numFmtId="0" fontId="1" fillId="0" borderId="15" xfId="0" applyFont="1" applyBorder="1" applyAlignment="1">
      <alignment vertical="center"/>
    </xf>
    <xf numFmtId="0" fontId="0" fillId="0" borderId="18" xfId="0" applyFont="1" applyBorder="1" applyAlignment="1">
      <alignment vertical="center"/>
    </xf>
    <xf numFmtId="0" fontId="0" fillId="0" borderId="1" xfId="0" applyFont="1" applyBorder="1" applyAlignment="1">
      <alignment vertical="center"/>
    </xf>
    <xf numFmtId="0" fontId="0" fillId="0" borderId="21" xfId="0" applyFont="1" applyBorder="1" applyAlignment="1">
      <alignment vertical="center"/>
    </xf>
    <xf numFmtId="0" fontId="0" fillId="0" borderId="3" xfId="0" applyFont="1" applyBorder="1" applyAlignment="1">
      <alignment vertical="center"/>
    </xf>
    <xf numFmtId="0" fontId="0" fillId="0" borderId="2" xfId="0" applyFont="1" applyBorder="1" applyAlignment="1">
      <alignment vertical="center"/>
    </xf>
    <xf numFmtId="0" fontId="8" fillId="0" borderId="0" xfId="0" quotePrefix="1" applyFont="1" applyAlignment="1">
      <alignment vertical="center"/>
    </xf>
    <xf numFmtId="0" fontId="0" fillId="0" borderId="0" xfId="0" quotePrefix="1" applyFont="1" applyAlignment="1">
      <alignment vertical="center"/>
    </xf>
    <xf numFmtId="0" fontId="15" fillId="0" borderId="0" xfId="0" quotePrefix="1" applyFont="1" applyAlignment="1">
      <alignment vertical="center"/>
    </xf>
    <xf numFmtId="0" fontId="1" fillId="0" borderId="4" xfId="0" applyFont="1" applyBorder="1" applyAlignment="1">
      <alignment vertical="center"/>
    </xf>
    <xf numFmtId="0" fontId="0" fillId="3" borderId="4"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0" xfId="0" applyFont="1" applyAlignment="1">
      <alignment horizontal="left" vertical="center"/>
    </xf>
    <xf numFmtId="14" fontId="0" fillId="3" borderId="4"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3" borderId="0" xfId="0" applyFont="1" applyFill="1" applyAlignment="1">
      <alignment horizontal="left" vertical="center"/>
    </xf>
    <xf numFmtId="0" fontId="4" fillId="0" borderId="0" xfId="0" applyFont="1" applyAlignment="1">
      <alignment vertical="center"/>
    </xf>
    <xf numFmtId="0" fontId="1" fillId="0" borderId="4" xfId="0" applyFont="1" applyBorder="1" applyAlignment="1">
      <alignment horizontal="center" vertical="center"/>
    </xf>
    <xf numFmtId="14" fontId="0" fillId="4" borderId="4" xfId="0" applyNumberFormat="1" applyFont="1" applyFill="1" applyBorder="1" applyAlignment="1">
      <alignment horizontal="center" vertical="center"/>
    </xf>
    <xf numFmtId="0" fontId="0" fillId="0" borderId="0" xfId="0" applyFont="1" applyBorder="1"/>
    <xf numFmtId="0" fontId="1" fillId="0" borderId="4" xfId="0" applyFont="1" applyBorder="1" applyAlignment="1">
      <alignment horizontal="center" vertical="center" wrapText="1"/>
    </xf>
    <xf numFmtId="9" fontId="0" fillId="0" borderId="4" xfId="0" applyNumberFormat="1" applyFont="1" applyBorder="1" applyAlignment="1">
      <alignment horizontal="center" vertical="center" wrapText="1"/>
    </xf>
    <xf numFmtId="4" fontId="0" fillId="0" borderId="4" xfId="0" applyNumberFormat="1" applyFont="1" applyBorder="1" applyAlignment="1">
      <alignment horizontal="right" vertical="center" wrapText="1"/>
    </xf>
    <xf numFmtId="165" fontId="0" fillId="0" borderId="4" xfId="0" applyNumberFormat="1" applyFont="1" applyBorder="1"/>
    <xf numFmtId="4" fontId="0" fillId="6" borderId="4" xfId="0" applyNumberFormat="1" applyFont="1" applyFill="1" applyBorder="1"/>
    <xf numFmtId="165" fontId="0" fillId="0" borderId="4" xfId="0" applyNumberFormat="1" applyFont="1" applyBorder="1" applyAlignment="1">
      <alignment horizontal="right" vertical="center" wrapText="1"/>
    </xf>
    <xf numFmtId="4" fontId="0" fillId="7" borderId="4" xfId="0" applyNumberFormat="1" applyFont="1" applyFill="1" applyBorder="1" applyAlignment="1">
      <alignment horizontal="right" vertical="center" wrapText="1"/>
    </xf>
    <xf numFmtId="4" fontId="0" fillId="5" borderId="4" xfId="0" applyNumberFormat="1" applyFont="1" applyFill="1" applyBorder="1" applyAlignment="1">
      <alignment horizontal="right" vertical="center" wrapText="1"/>
    </xf>
    <xf numFmtId="165" fontId="0" fillId="0" borderId="0" xfId="0" applyNumberFormat="1" applyFont="1" applyBorder="1"/>
    <xf numFmtId="0" fontId="0" fillId="3" borderId="0" xfId="0" applyFont="1" applyFill="1" applyAlignment="1">
      <alignment vertical="center"/>
    </xf>
    <xf numFmtId="0" fontId="0" fillId="0" borderId="0" xfId="0" applyFont="1" applyAlignment="1">
      <alignment horizontal="right" vertical="center"/>
    </xf>
    <xf numFmtId="0" fontId="2" fillId="0" borderId="0" xfId="0" applyFont="1" applyBorder="1" applyAlignment="1">
      <alignment horizontal="center"/>
    </xf>
    <xf numFmtId="0" fontId="16" fillId="0" borderId="0" xfId="0" applyFont="1" applyFill="1" applyBorder="1" applyAlignment="1">
      <alignment horizontal="center" vertical="center"/>
    </xf>
    <xf numFmtId="3" fontId="0" fillId="6" borderId="4" xfId="0" applyNumberFormat="1" applyFont="1" applyFill="1" applyBorder="1" applyAlignment="1">
      <alignment horizontal="center"/>
    </xf>
    <xf numFmtId="3" fontId="0" fillId="7" borderId="4" xfId="0" applyNumberFormat="1" applyFont="1" applyFill="1" applyBorder="1" applyAlignment="1">
      <alignment horizontal="center" vertical="center" wrapText="1"/>
    </xf>
    <xf numFmtId="4" fontId="0" fillId="7" borderId="4" xfId="0" applyNumberFormat="1" applyFont="1" applyFill="1" applyBorder="1" applyAlignment="1">
      <alignment horizontal="center" vertical="center" wrapText="1"/>
    </xf>
    <xf numFmtId="3" fontId="0" fillId="5" borderId="4" xfId="0" applyNumberFormat="1" applyFont="1" applyFill="1" applyBorder="1" applyAlignment="1">
      <alignment horizontal="center" vertical="center" wrapText="1"/>
    </xf>
    <xf numFmtId="49" fontId="0" fillId="0" borderId="0" xfId="0" applyNumberFormat="1" applyFont="1" applyAlignment="1">
      <alignment vertical="center"/>
    </xf>
    <xf numFmtId="0" fontId="1" fillId="0" borderId="4" xfId="0" applyFont="1" applyBorder="1" applyAlignment="1">
      <alignment horizontal="right" vertical="center"/>
    </xf>
    <xf numFmtId="0" fontId="0" fillId="3" borderId="26" xfId="0" applyNumberFormat="1" applyFont="1" applyFill="1" applyBorder="1" applyAlignment="1">
      <alignment horizontal="left" vertical="center"/>
    </xf>
    <xf numFmtId="0" fontId="0" fillId="3" borderId="27" xfId="0" applyNumberFormat="1" applyFont="1" applyFill="1" applyBorder="1" applyAlignment="1">
      <alignment horizontal="left"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0" fillId="3" borderId="16" xfId="0" applyFont="1" applyFill="1" applyBorder="1" applyAlignment="1">
      <alignment horizontal="left" vertical="center"/>
    </xf>
    <xf numFmtId="0" fontId="0" fillId="3" borderId="17" xfId="0" applyFont="1" applyFill="1" applyBorder="1" applyAlignment="1">
      <alignment horizontal="left" vertical="center"/>
    </xf>
    <xf numFmtId="9" fontId="0" fillId="3" borderId="14" xfId="0" applyNumberFormat="1" applyFont="1" applyFill="1" applyBorder="1" applyAlignment="1">
      <alignment horizontal="left" vertical="center"/>
    </xf>
    <xf numFmtId="0" fontId="0" fillId="3" borderId="19" xfId="0" applyFont="1" applyFill="1" applyBorder="1" applyAlignment="1">
      <alignment horizontal="left" vertical="center"/>
    </xf>
    <xf numFmtId="0" fontId="0" fillId="0" borderId="4" xfId="0" applyFont="1" applyBorder="1" applyAlignment="1">
      <alignment horizontal="justify" vertical="center" wrapText="1"/>
    </xf>
    <xf numFmtId="0" fontId="0" fillId="3" borderId="14" xfId="0" applyFont="1" applyFill="1" applyBorder="1" applyAlignment="1">
      <alignment horizontal="left" vertical="center"/>
    </xf>
    <xf numFmtId="0" fontId="0" fillId="3" borderId="20" xfId="0" applyFont="1" applyFill="1" applyBorder="1" applyAlignment="1">
      <alignment horizontal="left" vertical="center"/>
    </xf>
    <xf numFmtId="0" fontId="0" fillId="0" borderId="18" xfId="0" applyFont="1" applyBorder="1" applyAlignment="1">
      <alignment horizontal="left" vertical="center"/>
    </xf>
    <xf numFmtId="0" fontId="7" fillId="0" borderId="0" xfId="0" applyFont="1" applyAlignment="1">
      <alignment horizontal="center" vertical="center"/>
    </xf>
    <xf numFmtId="0" fontId="7" fillId="0" borderId="0" xfId="0" applyFont="1" applyBorder="1" applyAlignment="1">
      <alignment horizontal="center" vertical="center"/>
    </xf>
    <xf numFmtId="164" fontId="1" fillId="4" borderId="4" xfId="0" applyNumberFormat="1" applyFont="1" applyFill="1" applyBorder="1" applyAlignment="1">
      <alignment horizontal="center" vertical="center"/>
    </xf>
    <xf numFmtId="0" fontId="0" fillId="2" borderId="0" xfId="0" applyFont="1" applyFill="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164" fontId="1" fillId="4" borderId="5" xfId="0" applyNumberFormat="1" applyFont="1" applyFill="1" applyBorder="1" applyAlignment="1">
      <alignment horizontal="center" vertical="center"/>
    </xf>
    <xf numFmtId="164" fontId="1" fillId="4" borderId="6" xfId="0" applyNumberFormat="1" applyFont="1" applyFill="1" applyBorder="1" applyAlignment="1">
      <alignment horizontal="center" vertical="center"/>
    </xf>
    <xf numFmtId="164" fontId="1" fillId="4" borderId="7" xfId="0" applyNumberFormat="1" applyFont="1" applyFill="1" applyBorder="1" applyAlignment="1">
      <alignment horizontal="center" vertical="center"/>
    </xf>
    <xf numFmtId="0" fontId="0" fillId="0" borderId="5" xfId="0" applyFont="1" applyBorder="1" applyAlignment="1">
      <alignment horizontal="left" vertical="center" wrapText="1"/>
    </xf>
    <xf numFmtId="0" fontId="0" fillId="0" borderId="4" xfId="0" applyFont="1" applyBorder="1" applyAlignment="1">
      <alignment horizontal="left" vertical="center" wrapText="1"/>
    </xf>
    <xf numFmtId="0" fontId="0" fillId="4" borderId="5" xfId="0" applyFont="1" applyFill="1" applyBorder="1" applyAlignment="1">
      <alignment horizontal="right" vertical="center" wrapText="1"/>
    </xf>
    <xf numFmtId="0" fontId="0" fillId="4" borderId="7" xfId="0" applyFont="1" applyFill="1" applyBorder="1" applyAlignment="1">
      <alignment horizontal="right" vertical="center" wrapText="1"/>
    </xf>
    <xf numFmtId="0" fontId="0" fillId="4" borderId="5" xfId="0" applyFont="1" applyFill="1" applyBorder="1" applyAlignment="1">
      <alignment horizontal="right" vertical="center"/>
    </xf>
    <xf numFmtId="0" fontId="0" fillId="4" borderId="7" xfId="0" applyFont="1" applyFill="1" applyBorder="1" applyAlignment="1">
      <alignment horizontal="right" vertical="center"/>
    </xf>
    <xf numFmtId="0" fontId="0" fillId="4" borderId="14" xfId="0" applyFont="1" applyFill="1" applyBorder="1" applyAlignment="1">
      <alignment horizontal="left" vertical="center"/>
    </xf>
    <xf numFmtId="0" fontId="12" fillId="4" borderId="5" xfId="0" applyFont="1" applyFill="1" applyBorder="1" applyAlignment="1">
      <alignment horizontal="center" vertical="center"/>
    </xf>
    <xf numFmtId="0" fontId="12" fillId="4" borderId="7" xfId="0" applyFont="1" applyFill="1" applyBorder="1" applyAlignment="1">
      <alignment horizontal="center" vertical="center"/>
    </xf>
    <xf numFmtId="0" fontId="0" fillId="0" borderId="24" xfId="0" applyFont="1" applyBorder="1" applyAlignment="1">
      <alignment horizontal="left" vertical="center" wrapText="1"/>
    </xf>
    <xf numFmtId="0" fontId="0" fillId="0" borderId="25" xfId="0" applyFont="1" applyBorder="1" applyAlignment="1">
      <alignment horizontal="left" vertical="center" wrapText="1"/>
    </xf>
    <xf numFmtId="0" fontId="2" fillId="0" borderId="0" xfId="0" applyFont="1" applyAlignment="1">
      <alignment horizontal="center" vertical="center"/>
    </xf>
    <xf numFmtId="0" fontId="1" fillId="4" borderId="5" xfId="0" applyFont="1" applyFill="1" applyBorder="1" applyAlignment="1">
      <alignment horizontal="left" vertical="center"/>
    </xf>
    <xf numFmtId="0" fontId="1" fillId="4" borderId="6" xfId="0" applyFont="1" applyFill="1" applyBorder="1" applyAlignment="1">
      <alignment horizontal="left" vertical="center"/>
    </xf>
    <xf numFmtId="0" fontId="1" fillId="4" borderId="7" xfId="0" applyFont="1" applyFill="1" applyBorder="1" applyAlignment="1">
      <alignment horizontal="left" vertical="center"/>
    </xf>
    <xf numFmtId="0" fontId="0" fillId="8" borderId="0" xfId="0" applyFill="1" applyAlignment="1">
      <alignment horizontal="left" vertical="center" wrapText="1"/>
    </xf>
    <xf numFmtId="0" fontId="2" fillId="0" borderId="0" xfId="0" applyFont="1" applyBorder="1" applyAlignment="1">
      <alignment horizontal="center"/>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5"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781050</xdr:colOff>
          <xdr:row>9</xdr:row>
          <xdr:rowOff>180975</xdr:rowOff>
        </xdr:from>
        <xdr:to>
          <xdr:col>0</xdr:col>
          <xdr:colOff>1000125</xdr:colOff>
          <xdr:row>11</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3171825</xdr:colOff>
          <xdr:row>9</xdr:row>
          <xdr:rowOff>171450</xdr:rowOff>
        </xdr:from>
        <xdr:to>
          <xdr:col>1</xdr:col>
          <xdr:colOff>95250</xdr:colOff>
          <xdr:row>11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2371725</xdr:colOff>
          <xdr:row>16</xdr:row>
          <xdr:rowOff>9525</xdr:rowOff>
        </xdr:from>
        <xdr:to>
          <xdr:col>0</xdr:col>
          <xdr:colOff>2676525</xdr:colOff>
          <xdr:row>17</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2828925</xdr:colOff>
          <xdr:row>16</xdr:row>
          <xdr:rowOff>19050</xdr:rowOff>
        </xdr:from>
        <xdr:to>
          <xdr:col>0</xdr:col>
          <xdr:colOff>3133725</xdr:colOff>
          <xdr:row>16</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3257550</xdr:colOff>
          <xdr:row>16</xdr:row>
          <xdr:rowOff>28575</xdr:rowOff>
        </xdr:from>
        <xdr:to>
          <xdr:col>1</xdr:col>
          <xdr:colOff>180975</xdr:colOff>
          <xdr:row>16</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676275</xdr:colOff>
          <xdr:row>16</xdr:row>
          <xdr:rowOff>19050</xdr:rowOff>
        </xdr:from>
        <xdr:to>
          <xdr:col>1</xdr:col>
          <xdr:colOff>857250</xdr:colOff>
          <xdr:row>16</xdr:row>
          <xdr:rowOff>304800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16</xdr:row>
          <xdr:rowOff>19050</xdr:rowOff>
        </xdr:from>
        <xdr:to>
          <xdr:col>1</xdr:col>
          <xdr:colOff>466725</xdr:colOff>
          <xdr:row>17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0</xdr:col>
      <xdr:colOff>1619250</xdr:colOff>
      <xdr:row>6</xdr:row>
      <xdr:rowOff>142875</xdr:rowOff>
    </xdr:to>
    <xdr:pic>
      <xdr:nvPicPr>
        <xdr:cNvPr id="13" name="Image 12">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50" cy="1628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342900</xdr:colOff>
          <xdr:row>8</xdr:row>
          <xdr:rowOff>180975</xdr:rowOff>
        </xdr:from>
        <xdr:to>
          <xdr:col>4</xdr:col>
          <xdr:colOff>647700</xdr:colOff>
          <xdr:row>10</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0</xdr:rowOff>
        </xdr:from>
        <xdr:to>
          <xdr:col>5</xdr:col>
          <xdr:colOff>381000</xdr:colOff>
          <xdr:row>10</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9</xdr:row>
          <xdr:rowOff>0</xdr:rowOff>
        </xdr:from>
        <xdr:to>
          <xdr:col>12</xdr:col>
          <xdr:colOff>657225</xdr:colOff>
          <xdr:row>10</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9</xdr:row>
          <xdr:rowOff>0</xdr:rowOff>
        </xdr:from>
        <xdr:to>
          <xdr:col>13</xdr:col>
          <xdr:colOff>352425</xdr:colOff>
          <xdr:row>10</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xdr:row>
          <xdr:rowOff>38100</xdr:rowOff>
        </xdr:from>
        <xdr:to>
          <xdr:col>2</xdr:col>
          <xdr:colOff>342900</xdr:colOff>
          <xdr:row>12</xdr:row>
          <xdr:rowOff>257175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12</xdr:row>
          <xdr:rowOff>38100</xdr:rowOff>
        </xdr:from>
        <xdr:to>
          <xdr:col>4</xdr:col>
          <xdr:colOff>104775</xdr:colOff>
          <xdr:row>12</xdr:row>
          <xdr:rowOff>257175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12</xdr:row>
          <xdr:rowOff>38100</xdr:rowOff>
        </xdr:from>
        <xdr:to>
          <xdr:col>10</xdr:col>
          <xdr:colOff>342900</xdr:colOff>
          <xdr:row>12</xdr:row>
          <xdr:rowOff>257175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561975</xdr:colOff>
          <xdr:row>12</xdr:row>
          <xdr:rowOff>38100</xdr:rowOff>
        </xdr:from>
        <xdr:to>
          <xdr:col>12</xdr:col>
          <xdr:colOff>104775</xdr:colOff>
          <xdr:row>12</xdr:row>
          <xdr:rowOff>257175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9"/>
  <sheetViews>
    <sheetView workbookViewId="0">
      <selection activeCell="E25" sqref="E25"/>
    </sheetView>
  </sheetViews>
  <sheetFormatPr baseColWidth="10" defaultColWidth="11.42578125" defaultRowHeight="15" x14ac:dyDescent="0.25"/>
  <cols>
    <col min="1" max="1" width="50.7109375" style="6" customWidth="1"/>
    <col min="2" max="3" width="25.7109375" style="6" customWidth="1"/>
    <col min="4" max="7" width="35.7109375" style="6" customWidth="1"/>
    <col min="8" max="16384" width="11.42578125" style="6"/>
  </cols>
  <sheetData>
    <row r="1" spans="1:8" s="29" customFormat="1" ht="20.100000000000001" customHeight="1" x14ac:dyDescent="0.25">
      <c r="C1" s="66"/>
    </row>
    <row r="2" spans="1:8" s="29" customFormat="1" ht="20.100000000000001" customHeight="1" x14ac:dyDescent="0.25"/>
    <row r="3" spans="1:8" s="29" customFormat="1" ht="20.100000000000001" customHeight="1" x14ac:dyDescent="0.25"/>
    <row r="4" spans="1:8" s="29" customFormat="1" ht="20.100000000000001" customHeight="1" thickBot="1" x14ac:dyDescent="0.3"/>
    <row r="5" spans="1:8" s="29" customFormat="1" ht="20.100000000000001" customHeight="1" x14ac:dyDescent="0.25">
      <c r="B5" s="75" t="s">
        <v>9</v>
      </c>
      <c r="C5" s="76"/>
    </row>
    <row r="6" spans="1:8" s="29" customFormat="1" ht="20.100000000000001" customHeight="1" x14ac:dyDescent="0.25">
      <c r="B6" s="77"/>
      <c r="C6" s="78"/>
    </row>
    <row r="7" spans="1:8" s="29" customFormat="1" ht="20.100000000000001" customHeight="1" thickBot="1" x14ac:dyDescent="0.3">
      <c r="B7" s="79"/>
      <c r="C7" s="80"/>
      <c r="D7" s="30"/>
      <c r="E7" s="30"/>
      <c r="F7" s="30"/>
      <c r="G7" s="30"/>
      <c r="H7" s="30"/>
    </row>
    <row r="8" spans="1:8" s="29" customFormat="1" ht="20.100000000000001" customHeight="1" x14ac:dyDescent="0.25">
      <c r="D8" s="30"/>
      <c r="E8" s="30"/>
      <c r="F8" s="30"/>
      <c r="G8" s="30"/>
      <c r="H8" s="30"/>
    </row>
    <row r="9" spans="1:8" s="29" customFormat="1" ht="20.100000000000001" customHeight="1" x14ac:dyDescent="0.25">
      <c r="A9" s="43" t="s">
        <v>39</v>
      </c>
      <c r="B9" s="31" t="s">
        <v>27</v>
      </c>
      <c r="C9" s="49" t="s">
        <v>66</v>
      </c>
      <c r="D9" s="30"/>
      <c r="E9" s="30"/>
      <c r="F9" s="30"/>
      <c r="G9" s="30"/>
      <c r="H9" s="30"/>
    </row>
    <row r="11" spans="1:8" x14ac:dyDescent="0.25">
      <c r="A11" s="7" t="s">
        <v>28</v>
      </c>
      <c r="B11" s="64" t="s">
        <v>55</v>
      </c>
      <c r="C11" s="63"/>
    </row>
    <row r="13" spans="1:8" x14ac:dyDescent="0.25">
      <c r="A13" s="72" t="s">
        <v>47</v>
      </c>
      <c r="B13" s="51" t="s">
        <v>40</v>
      </c>
      <c r="C13" s="51" t="s">
        <v>41</v>
      </c>
    </row>
    <row r="14" spans="1:8" x14ac:dyDescent="0.25">
      <c r="A14" s="72"/>
      <c r="B14" s="47">
        <v>45536</v>
      </c>
      <c r="C14" s="47">
        <v>45900</v>
      </c>
    </row>
    <row r="15" spans="1:8" ht="15.75" thickBot="1" x14ac:dyDescent="0.3"/>
    <row r="16" spans="1:8" s="29" customFormat="1" ht="24.95" customHeight="1" x14ac:dyDescent="0.25">
      <c r="A16" s="32" t="s">
        <v>65</v>
      </c>
      <c r="B16" s="1"/>
      <c r="C16" s="2"/>
      <c r="D16" s="30"/>
      <c r="E16" s="30"/>
      <c r="F16" s="30"/>
      <c r="G16" s="30"/>
      <c r="H16" s="30"/>
    </row>
    <row r="17" spans="1:8" s="29" customFormat="1" ht="24.75" customHeight="1" thickBot="1" x14ac:dyDescent="0.3">
      <c r="A17" s="3" t="s">
        <v>29</v>
      </c>
      <c r="B17" s="4"/>
      <c r="C17" s="5"/>
      <c r="D17" s="30"/>
      <c r="E17" s="30"/>
      <c r="F17" s="30"/>
      <c r="G17" s="30"/>
      <c r="H17" s="30"/>
    </row>
    <row r="18" spans="1:8" ht="15.75" thickBot="1" x14ac:dyDescent="0.3"/>
    <row r="19" spans="1:8" ht="18.95" customHeight="1" x14ac:dyDescent="0.25">
      <c r="A19" s="33" t="s">
        <v>5</v>
      </c>
      <c r="B19" s="81" t="s">
        <v>33</v>
      </c>
      <c r="C19" s="82"/>
    </row>
    <row r="20" spans="1:8" ht="18.95" customHeight="1" x14ac:dyDescent="0.25">
      <c r="A20" s="34" t="s">
        <v>8</v>
      </c>
      <c r="B20" s="83">
        <v>0.7</v>
      </c>
      <c r="C20" s="84"/>
    </row>
    <row r="21" spans="1:8" ht="18.95" customHeight="1" x14ac:dyDescent="0.25">
      <c r="A21" s="34" t="s">
        <v>56</v>
      </c>
      <c r="B21" s="73" t="s">
        <v>48</v>
      </c>
      <c r="C21" s="74"/>
    </row>
    <row r="22" spans="1:8" ht="18.95" customHeight="1" x14ac:dyDescent="0.25">
      <c r="A22" s="34" t="s">
        <v>10</v>
      </c>
      <c r="B22" s="86" t="s">
        <v>32</v>
      </c>
      <c r="C22" s="84"/>
    </row>
    <row r="23" spans="1:8" ht="18.95" customHeight="1" x14ac:dyDescent="0.25">
      <c r="A23" s="88" t="s">
        <v>6</v>
      </c>
      <c r="B23" s="86" t="s">
        <v>34</v>
      </c>
      <c r="C23" s="84"/>
    </row>
    <row r="24" spans="1:8" ht="18.95" customHeight="1" x14ac:dyDescent="0.25">
      <c r="A24" s="88"/>
      <c r="B24" s="86" t="s">
        <v>35</v>
      </c>
      <c r="C24" s="84"/>
    </row>
    <row r="25" spans="1:8" ht="18.95" customHeight="1" x14ac:dyDescent="0.25">
      <c r="A25" s="34" t="s">
        <v>7</v>
      </c>
      <c r="B25" s="12"/>
      <c r="C25" s="35"/>
    </row>
    <row r="26" spans="1:8" ht="18.95" customHeight="1" x14ac:dyDescent="0.25">
      <c r="A26" s="87" t="s">
        <v>30</v>
      </c>
      <c r="B26" s="86"/>
      <c r="C26" s="84"/>
    </row>
    <row r="27" spans="1:8" ht="18.95" customHeight="1" x14ac:dyDescent="0.25">
      <c r="A27" s="87" t="s">
        <v>31</v>
      </c>
      <c r="B27" s="86"/>
      <c r="C27" s="84"/>
    </row>
    <row r="28" spans="1:8" ht="15.75" thickBot="1" x14ac:dyDescent="0.3">
      <c r="A28" s="36"/>
      <c r="B28" s="37"/>
      <c r="C28" s="38"/>
    </row>
    <row r="30" spans="1:8" x14ac:dyDescent="0.25">
      <c r="A30" s="85" t="s">
        <v>57</v>
      </c>
      <c r="B30" s="85"/>
      <c r="C30" s="85"/>
    </row>
    <row r="31" spans="1:8" x14ac:dyDescent="0.25">
      <c r="A31" s="85"/>
      <c r="B31" s="85"/>
      <c r="C31" s="85"/>
    </row>
    <row r="32" spans="1:8" x14ac:dyDescent="0.25">
      <c r="A32" s="85"/>
      <c r="B32" s="85"/>
      <c r="C32" s="85"/>
    </row>
    <row r="33" spans="1:3" ht="122.25" customHeight="1" x14ac:dyDescent="0.25">
      <c r="A33" s="85"/>
      <c r="B33" s="85"/>
      <c r="C33" s="85"/>
    </row>
    <row r="35" spans="1:3" x14ac:dyDescent="0.25">
      <c r="A35" s="6" t="s">
        <v>46</v>
      </c>
    </row>
    <row r="36" spans="1:3" x14ac:dyDescent="0.25">
      <c r="A36" s="41" t="s">
        <v>58</v>
      </c>
    </row>
    <row r="37" spans="1:3" x14ac:dyDescent="0.25">
      <c r="A37" s="39" t="s">
        <v>59</v>
      </c>
    </row>
    <row r="38" spans="1:3" x14ac:dyDescent="0.25">
      <c r="A38" s="71" t="s">
        <v>61</v>
      </c>
    </row>
    <row r="39" spans="1:3" x14ac:dyDescent="0.25">
      <c r="A39" s="40" t="s">
        <v>60</v>
      </c>
    </row>
  </sheetData>
  <mergeCells count="12">
    <mergeCell ref="A30:C33"/>
    <mergeCell ref="B23:C23"/>
    <mergeCell ref="B22:C22"/>
    <mergeCell ref="B24:C24"/>
    <mergeCell ref="A26:C26"/>
    <mergeCell ref="A27:C27"/>
    <mergeCell ref="A23:A24"/>
    <mergeCell ref="A13:A14"/>
    <mergeCell ref="B21:C21"/>
    <mergeCell ref="B5:C7"/>
    <mergeCell ref="B19:C19"/>
    <mergeCell ref="B20:C20"/>
  </mergeCells>
  <pageMargins left="0.70866141732283472"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781050</xdr:colOff>
                    <xdr:row>9</xdr:row>
                    <xdr:rowOff>180975</xdr:rowOff>
                  </from>
                  <to>
                    <xdr:col>0</xdr:col>
                    <xdr:colOff>1000125</xdr:colOff>
                    <xdr:row>11</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3171825</xdr:colOff>
                    <xdr:row>9</xdr:row>
                    <xdr:rowOff>171450</xdr:rowOff>
                  </from>
                  <to>
                    <xdr:col>1</xdr:col>
                    <xdr:colOff>95250</xdr:colOff>
                    <xdr:row>11</xdr:row>
                    <xdr:rowOff>9525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0</xdr:col>
                    <xdr:colOff>2371725</xdr:colOff>
                    <xdr:row>16</xdr:row>
                    <xdr:rowOff>9525</xdr:rowOff>
                  </from>
                  <to>
                    <xdr:col>0</xdr:col>
                    <xdr:colOff>2676525</xdr:colOff>
                    <xdr:row>17</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0</xdr:col>
                    <xdr:colOff>2828925</xdr:colOff>
                    <xdr:row>16</xdr:row>
                    <xdr:rowOff>19050</xdr:rowOff>
                  </from>
                  <to>
                    <xdr:col>0</xdr:col>
                    <xdr:colOff>3133725</xdr:colOff>
                    <xdr:row>16</xdr:row>
                    <xdr:rowOff>295275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0</xdr:col>
                    <xdr:colOff>3257550</xdr:colOff>
                    <xdr:row>16</xdr:row>
                    <xdr:rowOff>28575</xdr:rowOff>
                  </from>
                  <to>
                    <xdr:col>1</xdr:col>
                    <xdr:colOff>180975</xdr:colOff>
                    <xdr:row>16</xdr:row>
                    <xdr:rowOff>304800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xdr:col>
                    <xdr:colOff>676275</xdr:colOff>
                    <xdr:row>16</xdr:row>
                    <xdr:rowOff>19050</xdr:rowOff>
                  </from>
                  <to>
                    <xdr:col>1</xdr:col>
                    <xdr:colOff>857250</xdr:colOff>
                    <xdr:row>16</xdr:row>
                    <xdr:rowOff>304800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xdr:col>
                    <xdr:colOff>295275</xdr:colOff>
                    <xdr:row>16</xdr:row>
                    <xdr:rowOff>19050</xdr:rowOff>
                  </from>
                  <to>
                    <xdr:col>1</xdr:col>
                    <xdr:colOff>466725</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8"/>
  <sheetViews>
    <sheetView tabSelected="1" workbookViewId="0">
      <selection activeCell="A3" sqref="A3:O3"/>
    </sheetView>
  </sheetViews>
  <sheetFormatPr baseColWidth="10" defaultColWidth="11.42578125" defaultRowHeight="15" x14ac:dyDescent="0.25"/>
  <cols>
    <col min="1" max="1" width="33.140625" style="8" customWidth="1"/>
    <col min="2" max="2" width="3.85546875" style="15" customWidth="1"/>
    <col min="3" max="7" width="11.42578125" style="8"/>
    <col min="8" max="8" width="0.28515625" style="8" customWidth="1"/>
    <col min="9" max="9" width="33.140625" style="8" customWidth="1"/>
    <col min="10" max="10" width="3.85546875" style="15" customWidth="1"/>
    <col min="11" max="16384" width="11.42578125" style="8"/>
  </cols>
  <sheetData>
    <row r="1" spans="1:15" ht="15.75" x14ac:dyDescent="0.25">
      <c r="A1" s="109" t="s">
        <v>38</v>
      </c>
      <c r="B1" s="109"/>
      <c r="C1" s="109"/>
      <c r="D1" s="109"/>
      <c r="E1" s="109"/>
      <c r="F1" s="109"/>
      <c r="G1" s="109"/>
      <c r="H1" s="109"/>
      <c r="I1" s="109"/>
      <c r="J1" s="109"/>
      <c r="K1" s="109"/>
      <c r="L1" s="109"/>
      <c r="M1" s="109"/>
      <c r="N1" s="109"/>
      <c r="O1" s="109"/>
    </row>
    <row r="3" spans="1:15" ht="31.5" customHeight="1" x14ac:dyDescent="0.25">
      <c r="A3" s="113" t="s">
        <v>64</v>
      </c>
      <c r="B3" s="113"/>
      <c r="C3" s="113"/>
      <c r="D3" s="113"/>
      <c r="E3" s="113"/>
      <c r="F3" s="113"/>
      <c r="G3" s="113"/>
      <c r="H3" s="113"/>
      <c r="I3" s="113"/>
      <c r="J3" s="113"/>
      <c r="K3" s="113"/>
      <c r="L3" s="113"/>
      <c r="M3" s="113"/>
      <c r="N3" s="113"/>
      <c r="O3" s="113"/>
    </row>
    <row r="5" spans="1:15" ht="21.75" customHeight="1" x14ac:dyDescent="0.25">
      <c r="A5" s="42" t="s">
        <v>5</v>
      </c>
      <c r="B5" s="110" t="str">
        <f>AESH!B19</f>
        <v>DUPONT Olivier</v>
      </c>
      <c r="C5" s="111"/>
      <c r="D5" s="111"/>
      <c r="E5" s="111"/>
      <c r="F5" s="111"/>
      <c r="G5" s="111"/>
      <c r="H5" s="111"/>
      <c r="I5" s="111"/>
      <c r="J5" s="111"/>
      <c r="K5" s="111"/>
      <c r="L5" s="111"/>
      <c r="M5" s="111"/>
      <c r="N5" s="111"/>
      <c r="O5" s="112"/>
    </row>
    <row r="6" spans="1:15" s="23" customFormat="1" x14ac:dyDescent="0.25">
      <c r="A6" s="44"/>
      <c r="B6" s="45"/>
      <c r="C6" s="45"/>
      <c r="D6" s="45"/>
      <c r="E6" s="45"/>
      <c r="F6" s="45"/>
      <c r="G6" s="45"/>
      <c r="H6" s="45"/>
      <c r="I6" s="45"/>
      <c r="J6" s="45"/>
      <c r="K6" s="45"/>
      <c r="L6" s="45"/>
      <c r="M6" s="45"/>
      <c r="N6" s="45"/>
      <c r="O6" s="45"/>
    </row>
    <row r="7" spans="1:15" s="26" customFormat="1" x14ac:dyDescent="0.25">
      <c r="A7" s="50" t="s">
        <v>20</v>
      </c>
      <c r="B7" s="25"/>
      <c r="H7" s="92"/>
      <c r="I7" s="50" t="s">
        <v>20</v>
      </c>
      <c r="J7" s="25"/>
    </row>
    <row r="8" spans="1:15" s="6" customFormat="1" ht="24.75" customHeight="1" x14ac:dyDescent="0.25">
      <c r="A8" s="104" t="str">
        <f>AESH!B23</f>
        <v>Elève X</v>
      </c>
      <c r="B8" s="104"/>
      <c r="C8" s="104"/>
      <c r="D8" s="104"/>
      <c r="E8" s="104"/>
      <c r="F8" s="104"/>
      <c r="G8" s="104"/>
      <c r="H8" s="92"/>
      <c r="I8" s="104" t="str">
        <f>AESH!B24</f>
        <v>Elève Y</v>
      </c>
      <c r="J8" s="104"/>
      <c r="K8" s="104"/>
      <c r="L8" s="104"/>
      <c r="M8" s="104"/>
      <c r="N8" s="104"/>
      <c r="O8" s="104"/>
    </row>
    <row r="9" spans="1:15" s="6" customFormat="1" x14ac:dyDescent="0.25">
      <c r="B9" s="7"/>
      <c r="H9" s="92"/>
      <c r="J9" s="7"/>
    </row>
    <row r="10" spans="1:15" s="6" customFormat="1" x14ac:dyDescent="0.25">
      <c r="A10" s="19" t="s">
        <v>36</v>
      </c>
      <c r="B10" s="20"/>
      <c r="H10" s="92"/>
      <c r="I10" s="19" t="s">
        <v>37</v>
      </c>
      <c r="J10" s="20"/>
    </row>
    <row r="11" spans="1:15" s="6" customFormat="1" x14ac:dyDescent="0.25">
      <c r="B11" s="7"/>
      <c r="H11" s="92"/>
      <c r="J11" s="7"/>
    </row>
    <row r="12" spans="1:15" s="6" customFormat="1" ht="24" customHeight="1" x14ac:dyDescent="0.25">
      <c r="A12" s="19" t="s">
        <v>12</v>
      </c>
      <c r="B12" s="104" t="str">
        <f>AESH!A26</f>
        <v>Ecole X (Rne : 0240045u)</v>
      </c>
      <c r="C12" s="104"/>
      <c r="D12" s="104"/>
      <c r="E12" s="104"/>
      <c r="F12" s="104"/>
      <c r="G12" s="104"/>
      <c r="H12" s="92"/>
      <c r="I12" s="19" t="s">
        <v>12</v>
      </c>
      <c r="J12" s="104" t="str">
        <f>AESH!A27</f>
        <v>Ecole Y (Rne : 0240046v)</v>
      </c>
      <c r="K12" s="104"/>
      <c r="L12" s="104"/>
      <c r="M12" s="104"/>
      <c r="N12" s="104"/>
      <c r="O12" s="104"/>
    </row>
    <row r="13" spans="1:15" s="6" customFormat="1" ht="24" customHeight="1" x14ac:dyDescent="0.25">
      <c r="A13" s="19"/>
      <c r="B13" s="30"/>
      <c r="C13" s="21" t="s">
        <v>62</v>
      </c>
      <c r="D13" s="30"/>
      <c r="E13" s="45" t="s">
        <v>63</v>
      </c>
      <c r="F13" s="30"/>
      <c r="G13" s="30"/>
      <c r="H13" s="92"/>
      <c r="I13" s="19"/>
      <c r="J13" s="30"/>
      <c r="K13" s="21" t="s">
        <v>62</v>
      </c>
      <c r="L13" s="30"/>
      <c r="M13" s="45" t="s">
        <v>63</v>
      </c>
      <c r="N13" s="30"/>
      <c r="O13" s="30"/>
    </row>
    <row r="14" spans="1:15" s="6" customFormat="1" x14ac:dyDescent="0.25">
      <c r="A14" s="19"/>
      <c r="B14" s="21"/>
      <c r="D14" s="21"/>
      <c r="E14" s="21"/>
      <c r="F14" s="21"/>
      <c r="G14" s="21"/>
      <c r="H14" s="92"/>
      <c r="I14" s="19"/>
      <c r="J14" s="21"/>
      <c r="K14" s="21"/>
      <c r="L14" s="21"/>
      <c r="M14" s="21"/>
      <c r="N14" s="21"/>
      <c r="O14" s="21"/>
    </row>
    <row r="15" spans="1:15" s="6" customFormat="1" x14ac:dyDescent="0.25">
      <c r="A15" s="19" t="s">
        <v>11</v>
      </c>
      <c r="B15" s="20"/>
      <c r="D15" s="28">
        <v>0.35</v>
      </c>
      <c r="H15" s="92"/>
      <c r="I15" s="19" t="s">
        <v>11</v>
      </c>
      <c r="J15" s="20"/>
      <c r="L15" s="28">
        <v>0.35</v>
      </c>
    </row>
    <row r="16" spans="1:15" s="6" customFormat="1" x14ac:dyDescent="0.25">
      <c r="A16" s="19" t="s">
        <v>25</v>
      </c>
      <c r="B16" s="20"/>
      <c r="D16" s="27" t="s">
        <v>26</v>
      </c>
      <c r="H16" s="92"/>
      <c r="I16" s="19" t="s">
        <v>25</v>
      </c>
      <c r="J16" s="20"/>
      <c r="L16" s="27" t="s">
        <v>26</v>
      </c>
    </row>
    <row r="17" spans="1:15" s="6" customFormat="1" x14ac:dyDescent="0.25">
      <c r="A17" s="46" t="s">
        <v>42</v>
      </c>
      <c r="B17" s="20" t="s">
        <v>40</v>
      </c>
      <c r="C17" s="52">
        <f>AESH!B14</f>
        <v>45536</v>
      </c>
      <c r="D17" s="48" t="s">
        <v>41</v>
      </c>
      <c r="E17" s="52">
        <f>AESH!C14</f>
        <v>45900</v>
      </c>
      <c r="H17" s="92"/>
      <c r="I17" s="46" t="s">
        <v>42</v>
      </c>
      <c r="J17" s="20" t="s">
        <v>40</v>
      </c>
      <c r="K17" s="52">
        <f>AESH!B14</f>
        <v>45536</v>
      </c>
      <c r="L17" s="48" t="s">
        <v>41</v>
      </c>
      <c r="M17" s="52">
        <f>AESH!C14</f>
        <v>45900</v>
      </c>
    </row>
    <row r="18" spans="1:15" s="6" customFormat="1" x14ac:dyDescent="0.25">
      <c r="B18" s="7"/>
      <c r="H18" s="92"/>
      <c r="J18" s="7"/>
    </row>
    <row r="19" spans="1:15" s="6" customFormat="1" ht="32.25" customHeight="1" x14ac:dyDescent="0.25">
      <c r="A19" s="105" t="s">
        <v>24</v>
      </c>
      <c r="B19" s="106"/>
      <c r="C19" s="17" t="s">
        <v>0</v>
      </c>
      <c r="D19" s="17" t="s">
        <v>1</v>
      </c>
      <c r="E19" s="17" t="s">
        <v>2</v>
      </c>
      <c r="F19" s="17" t="s">
        <v>3</v>
      </c>
      <c r="G19" s="17" t="s">
        <v>4</v>
      </c>
      <c r="H19" s="92"/>
      <c r="I19" s="105" t="s">
        <v>18</v>
      </c>
      <c r="J19" s="106"/>
      <c r="K19" s="17" t="s">
        <v>0</v>
      </c>
      <c r="L19" s="17" t="s">
        <v>1</v>
      </c>
      <c r="M19" s="17" t="s">
        <v>2</v>
      </c>
      <c r="N19" s="17" t="s">
        <v>3</v>
      </c>
      <c r="O19" s="17" t="s">
        <v>4</v>
      </c>
    </row>
    <row r="20" spans="1:15" s="6" customFormat="1" x14ac:dyDescent="0.25">
      <c r="A20" s="98" t="s">
        <v>44</v>
      </c>
      <c r="B20" s="9" t="s">
        <v>16</v>
      </c>
      <c r="C20" s="16">
        <v>0.34722222222222227</v>
      </c>
      <c r="D20" s="16">
        <v>0.34722222222222227</v>
      </c>
      <c r="E20" s="16">
        <v>0</v>
      </c>
      <c r="F20" s="16">
        <v>0.34722222222222227</v>
      </c>
      <c r="G20" s="16">
        <v>0.34722222222222227</v>
      </c>
      <c r="H20" s="92"/>
      <c r="I20" s="98" t="s">
        <v>44</v>
      </c>
      <c r="J20" s="9" t="s">
        <v>16</v>
      </c>
      <c r="K20" s="16">
        <v>0</v>
      </c>
      <c r="L20" s="16">
        <v>0</v>
      </c>
      <c r="M20" s="16">
        <v>0</v>
      </c>
      <c r="N20" s="16">
        <v>0</v>
      </c>
      <c r="O20" s="16">
        <v>0</v>
      </c>
    </row>
    <row r="21" spans="1:15" s="6" customFormat="1" x14ac:dyDescent="0.25">
      <c r="A21" s="98"/>
      <c r="B21" s="9" t="s">
        <v>17</v>
      </c>
      <c r="C21" s="16">
        <v>0.4826388888888889</v>
      </c>
      <c r="D21" s="16">
        <v>0.4826388888888889</v>
      </c>
      <c r="E21" s="16">
        <v>0</v>
      </c>
      <c r="F21" s="16">
        <v>0.4826388888888889</v>
      </c>
      <c r="G21" s="16">
        <v>0.4826388888888889</v>
      </c>
      <c r="H21" s="92"/>
      <c r="I21" s="98"/>
      <c r="J21" s="9" t="s">
        <v>17</v>
      </c>
      <c r="K21" s="16">
        <v>0</v>
      </c>
      <c r="L21" s="16">
        <v>0</v>
      </c>
      <c r="M21" s="16">
        <v>0</v>
      </c>
      <c r="N21" s="16">
        <v>0</v>
      </c>
      <c r="O21" s="16">
        <v>0</v>
      </c>
    </row>
    <row r="22" spans="1:15" s="6" customFormat="1" ht="15" customHeight="1" x14ac:dyDescent="0.25">
      <c r="A22" s="107" t="s">
        <v>19</v>
      </c>
      <c r="B22" s="9" t="s">
        <v>16</v>
      </c>
      <c r="C22" s="16">
        <v>0</v>
      </c>
      <c r="D22" s="16">
        <v>0</v>
      </c>
      <c r="E22" s="16">
        <v>0</v>
      </c>
      <c r="F22" s="16">
        <v>0</v>
      </c>
      <c r="G22" s="16">
        <v>0</v>
      </c>
      <c r="H22" s="92"/>
      <c r="I22" s="107" t="s">
        <v>19</v>
      </c>
      <c r="J22" s="9" t="s">
        <v>16</v>
      </c>
      <c r="K22" s="16">
        <v>0</v>
      </c>
      <c r="L22" s="16">
        <v>0</v>
      </c>
      <c r="M22" s="16">
        <v>0</v>
      </c>
      <c r="N22" s="16">
        <v>0</v>
      </c>
      <c r="O22" s="16">
        <v>0</v>
      </c>
    </row>
    <row r="23" spans="1:15" s="6" customFormat="1" x14ac:dyDescent="0.25">
      <c r="A23" s="108"/>
      <c r="B23" s="9" t="s">
        <v>17</v>
      </c>
      <c r="C23" s="16">
        <v>0</v>
      </c>
      <c r="D23" s="16">
        <v>0</v>
      </c>
      <c r="E23" s="16">
        <v>0</v>
      </c>
      <c r="F23" s="16">
        <v>0</v>
      </c>
      <c r="G23" s="16">
        <v>0</v>
      </c>
      <c r="H23" s="92"/>
      <c r="I23" s="108"/>
      <c r="J23" s="9" t="s">
        <v>17</v>
      </c>
      <c r="K23" s="16">
        <v>0</v>
      </c>
      <c r="L23" s="16">
        <v>0</v>
      </c>
      <c r="M23" s="16">
        <v>0</v>
      </c>
      <c r="N23" s="16">
        <v>0</v>
      </c>
      <c r="O23" s="16">
        <v>0</v>
      </c>
    </row>
    <row r="24" spans="1:15" s="6" customFormat="1" ht="15" customHeight="1" x14ac:dyDescent="0.25">
      <c r="A24" s="98" t="s">
        <v>13</v>
      </c>
      <c r="B24" s="9" t="s">
        <v>16</v>
      </c>
      <c r="C24" s="16">
        <v>0</v>
      </c>
      <c r="D24" s="16">
        <v>0</v>
      </c>
      <c r="E24" s="16">
        <v>0</v>
      </c>
      <c r="F24" s="16">
        <v>0</v>
      </c>
      <c r="G24" s="16">
        <v>0</v>
      </c>
      <c r="H24" s="92"/>
      <c r="I24" s="98" t="s">
        <v>13</v>
      </c>
      <c r="J24" s="9" t="s">
        <v>16</v>
      </c>
      <c r="K24" s="16">
        <v>0</v>
      </c>
      <c r="L24" s="16">
        <v>0</v>
      </c>
      <c r="M24" s="16">
        <v>0</v>
      </c>
      <c r="N24" s="16">
        <v>0</v>
      </c>
      <c r="O24" s="16">
        <v>0</v>
      </c>
    </row>
    <row r="25" spans="1:15" s="6" customFormat="1" x14ac:dyDescent="0.25">
      <c r="A25" s="98"/>
      <c r="B25" s="9" t="s">
        <v>17</v>
      </c>
      <c r="C25" s="16">
        <v>0</v>
      </c>
      <c r="D25" s="16">
        <v>0</v>
      </c>
      <c r="E25" s="16">
        <v>0</v>
      </c>
      <c r="F25" s="16">
        <v>0</v>
      </c>
      <c r="G25" s="16">
        <v>0</v>
      </c>
      <c r="H25" s="92"/>
      <c r="I25" s="98"/>
      <c r="J25" s="9" t="s">
        <v>17</v>
      </c>
      <c r="K25" s="16">
        <v>0</v>
      </c>
      <c r="L25" s="16">
        <v>0</v>
      </c>
      <c r="M25" s="16">
        <v>0</v>
      </c>
      <c r="N25" s="16">
        <v>0</v>
      </c>
      <c r="O25" s="16">
        <v>0</v>
      </c>
    </row>
    <row r="26" spans="1:15" s="12" customFormat="1" x14ac:dyDescent="0.25">
      <c r="A26" s="10"/>
      <c r="B26" s="13"/>
      <c r="C26" s="11"/>
      <c r="D26" s="11"/>
      <c r="E26" s="11"/>
      <c r="F26" s="11"/>
      <c r="G26" s="11"/>
      <c r="H26" s="92"/>
      <c r="I26" s="10"/>
      <c r="J26" s="13"/>
      <c r="K26" s="11"/>
      <c r="L26" s="11"/>
      <c r="M26" s="11"/>
      <c r="N26" s="11"/>
      <c r="O26" s="11"/>
    </row>
    <row r="27" spans="1:15" s="6" customFormat="1" ht="15" customHeight="1" x14ac:dyDescent="0.25">
      <c r="A27" s="99" t="s">
        <v>14</v>
      </c>
      <c r="B27" s="14" t="s">
        <v>16</v>
      </c>
      <c r="C27" s="16">
        <v>0.5</v>
      </c>
      <c r="D27" s="16">
        <v>0.5</v>
      </c>
      <c r="E27" s="16">
        <v>0</v>
      </c>
      <c r="F27" s="16">
        <v>0.5</v>
      </c>
      <c r="G27" s="16">
        <v>0.5</v>
      </c>
      <c r="H27" s="92"/>
      <c r="I27" s="99" t="s">
        <v>14</v>
      </c>
      <c r="J27" s="14" t="s">
        <v>16</v>
      </c>
      <c r="K27" s="16">
        <v>0</v>
      </c>
      <c r="L27" s="16">
        <v>0</v>
      </c>
      <c r="M27" s="16">
        <v>0</v>
      </c>
      <c r="N27" s="16">
        <v>0</v>
      </c>
      <c r="O27" s="16">
        <v>0</v>
      </c>
    </row>
    <row r="28" spans="1:15" s="6" customFormat="1" x14ac:dyDescent="0.25">
      <c r="A28" s="99"/>
      <c r="B28" s="14" t="s">
        <v>17</v>
      </c>
      <c r="C28" s="16">
        <v>0.53125</v>
      </c>
      <c r="D28" s="16">
        <v>0.53125</v>
      </c>
      <c r="E28" s="16">
        <v>0</v>
      </c>
      <c r="F28" s="16">
        <v>0.53125</v>
      </c>
      <c r="G28" s="16">
        <v>0.53125</v>
      </c>
      <c r="H28" s="92"/>
      <c r="I28" s="99"/>
      <c r="J28" s="14" t="s">
        <v>17</v>
      </c>
      <c r="K28" s="16">
        <v>0</v>
      </c>
      <c r="L28" s="16">
        <v>0</v>
      </c>
      <c r="M28" s="16">
        <v>0</v>
      </c>
      <c r="N28" s="16">
        <v>0</v>
      </c>
      <c r="O28" s="16">
        <v>0</v>
      </c>
    </row>
    <row r="29" spans="1:15" s="12" customFormat="1" x14ac:dyDescent="0.25">
      <c r="A29" s="10"/>
      <c r="B29" s="13"/>
      <c r="C29" s="11"/>
      <c r="D29" s="11"/>
      <c r="E29" s="11"/>
      <c r="F29" s="11"/>
      <c r="G29" s="11"/>
      <c r="H29" s="92"/>
      <c r="I29" s="10"/>
      <c r="J29" s="13"/>
      <c r="K29" s="11"/>
      <c r="L29" s="11"/>
      <c r="M29" s="11"/>
      <c r="N29" s="11"/>
      <c r="O29" s="11"/>
    </row>
    <row r="30" spans="1:15" s="6" customFormat="1" x14ac:dyDescent="0.25">
      <c r="A30" s="99" t="s">
        <v>43</v>
      </c>
      <c r="B30" s="14" t="s">
        <v>16</v>
      </c>
      <c r="C30" s="16">
        <v>0</v>
      </c>
      <c r="D30" s="16">
        <v>0</v>
      </c>
      <c r="E30" s="16">
        <v>0</v>
      </c>
      <c r="F30" s="16">
        <v>0</v>
      </c>
      <c r="G30" s="16">
        <v>0</v>
      </c>
      <c r="H30" s="92"/>
      <c r="I30" s="99" t="s">
        <v>43</v>
      </c>
      <c r="J30" s="14" t="s">
        <v>16</v>
      </c>
      <c r="K30" s="16">
        <v>0.55555555555555558</v>
      </c>
      <c r="L30" s="16">
        <v>0.55555555555555558</v>
      </c>
      <c r="M30" s="16">
        <v>0</v>
      </c>
      <c r="N30" s="16">
        <v>0.55555555555555558</v>
      </c>
      <c r="O30" s="16">
        <v>0.55555555555555558</v>
      </c>
    </row>
    <row r="31" spans="1:15" s="6" customFormat="1" x14ac:dyDescent="0.25">
      <c r="A31" s="99"/>
      <c r="B31" s="14" t="s">
        <v>17</v>
      </c>
      <c r="C31" s="16">
        <v>0</v>
      </c>
      <c r="D31" s="16">
        <v>0</v>
      </c>
      <c r="E31" s="16">
        <v>0</v>
      </c>
      <c r="F31" s="16">
        <v>0</v>
      </c>
      <c r="G31" s="16">
        <v>0</v>
      </c>
      <c r="H31" s="92"/>
      <c r="I31" s="99"/>
      <c r="J31" s="14" t="s">
        <v>17</v>
      </c>
      <c r="K31" s="16">
        <v>0.69791666666666663</v>
      </c>
      <c r="L31" s="16">
        <v>0.69791666666666663</v>
      </c>
      <c r="M31" s="16">
        <v>0</v>
      </c>
      <c r="N31" s="16">
        <v>0.69791666666666663</v>
      </c>
      <c r="O31" s="16">
        <v>0.69791666666666663</v>
      </c>
    </row>
    <row r="32" spans="1:15" s="12" customFormat="1" x14ac:dyDescent="0.25">
      <c r="A32" s="10"/>
      <c r="B32" s="13"/>
      <c r="C32" s="11"/>
      <c r="D32" s="11"/>
      <c r="E32" s="11"/>
      <c r="F32" s="11"/>
      <c r="G32" s="11"/>
      <c r="H32" s="92"/>
      <c r="I32" s="10"/>
      <c r="J32" s="13"/>
      <c r="K32" s="11"/>
      <c r="L32" s="11"/>
      <c r="M32" s="11"/>
      <c r="N32" s="11"/>
      <c r="O32" s="11"/>
    </row>
    <row r="33" spans="1:15" s="6" customFormat="1" ht="15" customHeight="1" x14ac:dyDescent="0.25">
      <c r="A33" s="100" t="s">
        <v>15</v>
      </c>
      <c r="B33" s="101"/>
      <c r="C33" s="18">
        <f>(C21-C20)-(C23-C22)+(C25-C24)+(C31-C30)</f>
        <v>0.13541666666666663</v>
      </c>
      <c r="D33" s="18">
        <f t="shared" ref="D33:G33" si="0">(D21-D20)-(D23-D22)+(D25-D24)+(D31-D30)</f>
        <v>0.13541666666666663</v>
      </c>
      <c r="E33" s="18">
        <f t="shared" si="0"/>
        <v>0</v>
      </c>
      <c r="F33" s="18">
        <f t="shared" si="0"/>
        <v>0.13541666666666663</v>
      </c>
      <c r="G33" s="18">
        <f t="shared" si="0"/>
        <v>0.13541666666666663</v>
      </c>
      <c r="H33" s="92"/>
      <c r="I33" s="100" t="s">
        <v>15</v>
      </c>
      <c r="J33" s="101"/>
      <c r="K33" s="18">
        <f>(K21-K20)-(K23-K22)+(K25-K24)+(K31-K30)</f>
        <v>0.14236111111111105</v>
      </c>
      <c r="L33" s="18">
        <f t="shared" ref="L33:O33" si="1">(L21-L20)-(L23-L22)+(L25-L24)+(L31-L30)</f>
        <v>0.14236111111111105</v>
      </c>
      <c r="M33" s="18">
        <f t="shared" si="1"/>
        <v>0</v>
      </c>
      <c r="N33" s="18">
        <f t="shared" si="1"/>
        <v>0.14236111111111105</v>
      </c>
      <c r="O33" s="18">
        <f t="shared" si="1"/>
        <v>0.14236111111111105</v>
      </c>
    </row>
    <row r="34" spans="1:15" s="6" customFormat="1" ht="15" customHeight="1" x14ac:dyDescent="0.25">
      <c r="A34" s="102" t="s">
        <v>21</v>
      </c>
      <c r="B34" s="103"/>
      <c r="C34" s="91">
        <f>SUM(C33:G33)</f>
        <v>0.54166666666666652</v>
      </c>
      <c r="D34" s="91"/>
      <c r="E34" s="91"/>
      <c r="F34" s="91"/>
      <c r="G34" s="91"/>
      <c r="H34" s="92"/>
      <c r="I34" s="102" t="s">
        <v>21</v>
      </c>
      <c r="J34" s="103"/>
      <c r="K34" s="91">
        <f>SUM(K33:O33)</f>
        <v>0.5694444444444442</v>
      </c>
      <c r="L34" s="91"/>
      <c r="M34" s="91"/>
      <c r="N34" s="91"/>
      <c r="O34" s="91"/>
    </row>
    <row r="35" spans="1:15" x14ac:dyDescent="0.25">
      <c r="H35" s="22"/>
    </row>
    <row r="36" spans="1:15" s="6" customFormat="1" ht="28.5" customHeight="1" x14ac:dyDescent="0.25">
      <c r="A36" s="93" t="s">
        <v>45</v>
      </c>
      <c r="B36" s="94"/>
      <c r="C36" s="95">
        <f>SUM(C34+K34)</f>
        <v>1.1111111111111107</v>
      </c>
      <c r="D36" s="96"/>
      <c r="E36" s="96"/>
      <c r="F36" s="96"/>
      <c r="G36" s="96"/>
      <c r="H36" s="96"/>
      <c r="I36" s="96"/>
      <c r="J36" s="96"/>
      <c r="K36" s="96"/>
      <c r="L36" s="96"/>
      <c r="M36" s="96"/>
      <c r="N36" s="96"/>
      <c r="O36" s="97"/>
    </row>
    <row r="37" spans="1:15" s="6" customFormat="1" x14ac:dyDescent="0.25">
      <c r="H37" s="24"/>
    </row>
    <row r="38" spans="1:15" s="6" customFormat="1" x14ac:dyDescent="0.25">
      <c r="A38" s="89" t="s">
        <v>23</v>
      </c>
      <c r="B38" s="89"/>
      <c r="C38" s="89"/>
      <c r="D38" s="89"/>
      <c r="E38" s="89"/>
      <c r="F38" s="89"/>
      <c r="G38" s="89"/>
      <c r="H38" s="24"/>
      <c r="I38" s="89" t="s">
        <v>23</v>
      </c>
      <c r="J38" s="89"/>
      <c r="K38" s="89"/>
      <c r="L38" s="89"/>
      <c r="M38" s="89"/>
      <c r="N38" s="89"/>
      <c r="O38" s="89"/>
    </row>
    <row r="39" spans="1:15" s="6" customFormat="1" x14ac:dyDescent="0.25">
      <c r="H39" s="24"/>
    </row>
    <row r="40" spans="1:15" x14ac:dyDescent="0.25">
      <c r="H40" s="23"/>
    </row>
    <row r="41" spans="1:15" s="6" customFormat="1" x14ac:dyDescent="0.25">
      <c r="H41" s="24"/>
    </row>
    <row r="42" spans="1:15" s="6" customFormat="1" x14ac:dyDescent="0.25">
      <c r="H42" s="24"/>
    </row>
    <row r="43" spans="1:15" s="6" customFormat="1" x14ac:dyDescent="0.25">
      <c r="H43" s="24"/>
    </row>
    <row r="44" spans="1:15" s="6" customFormat="1" x14ac:dyDescent="0.25">
      <c r="H44" s="24"/>
    </row>
    <row r="45" spans="1:15" s="6" customFormat="1" x14ac:dyDescent="0.25">
      <c r="A45" s="90" t="s">
        <v>22</v>
      </c>
      <c r="B45" s="90"/>
      <c r="C45" s="90"/>
      <c r="D45" s="90"/>
      <c r="E45" s="90"/>
      <c r="F45" s="90"/>
      <c r="G45" s="90"/>
      <c r="H45" s="90"/>
      <c r="I45" s="90"/>
      <c r="J45" s="90"/>
      <c r="K45" s="90"/>
      <c r="L45" s="90"/>
      <c r="M45" s="90"/>
      <c r="N45" s="90"/>
      <c r="O45" s="90"/>
    </row>
    <row r="46" spans="1:15" s="6" customFormat="1" x14ac:dyDescent="0.25"/>
    <row r="47" spans="1:15" s="6" customFormat="1" x14ac:dyDescent="0.25"/>
    <row r="48" spans="1:15" s="12" customFormat="1" x14ac:dyDescent="0.25"/>
    <row r="49" s="6" customFormat="1" x14ac:dyDescent="0.25"/>
    <row r="50" s="6" customFormat="1" x14ac:dyDescent="0.25"/>
    <row r="51" s="12" customFormat="1" x14ac:dyDescent="0.25"/>
    <row r="52" s="6" customFormat="1" x14ac:dyDescent="0.25"/>
    <row r="53" s="6" customFormat="1" x14ac:dyDescent="0.25"/>
    <row r="54" s="6" customFormat="1" x14ac:dyDescent="0.25"/>
    <row r="55" s="6" customFormat="1" x14ac:dyDescent="0.25"/>
    <row r="56" s="12" customFormat="1" x14ac:dyDescent="0.25"/>
    <row r="57" s="6" customFormat="1" x14ac:dyDescent="0.25"/>
    <row r="58" s="6" customFormat="1" x14ac:dyDescent="0.25"/>
  </sheetData>
  <mergeCells count="31">
    <mergeCell ref="B12:G12"/>
    <mergeCell ref="A8:G8"/>
    <mergeCell ref="A19:B19"/>
    <mergeCell ref="A1:O1"/>
    <mergeCell ref="B5:O5"/>
    <mergeCell ref="A3:O3"/>
    <mergeCell ref="I22:I23"/>
    <mergeCell ref="A22:A23"/>
    <mergeCell ref="A33:B33"/>
    <mergeCell ref="A34:B34"/>
    <mergeCell ref="A20:A21"/>
    <mergeCell ref="A24:A25"/>
    <mergeCell ref="A27:A28"/>
    <mergeCell ref="A30:A31"/>
    <mergeCell ref="C34:G34"/>
    <mergeCell ref="A38:G38"/>
    <mergeCell ref="I38:O38"/>
    <mergeCell ref="A45:O45"/>
    <mergeCell ref="K34:O34"/>
    <mergeCell ref="H7:H34"/>
    <mergeCell ref="A36:B36"/>
    <mergeCell ref="C36:O36"/>
    <mergeCell ref="I24:I25"/>
    <mergeCell ref="I27:I28"/>
    <mergeCell ref="I30:I31"/>
    <mergeCell ref="I33:J33"/>
    <mergeCell ref="I34:J34"/>
    <mergeCell ref="I8:O8"/>
    <mergeCell ref="J12:O12"/>
    <mergeCell ref="I19:J19"/>
    <mergeCell ref="I20:I21"/>
  </mergeCells>
  <printOptions horizontalCentered="1" verticalCentered="1"/>
  <pageMargins left="0.51181102362204722" right="0.51181102362204722" top="0.35433070866141736" bottom="0.35433070866141736" header="0.31496062992125984" footer="0.31496062992125984"/>
  <pageSetup paperSize="9"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342900</xdr:colOff>
                    <xdr:row>8</xdr:row>
                    <xdr:rowOff>180975</xdr:rowOff>
                  </from>
                  <to>
                    <xdr:col>4</xdr:col>
                    <xdr:colOff>647700</xdr:colOff>
                    <xdr:row>10</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76200</xdr:colOff>
                    <xdr:row>9</xdr:row>
                    <xdr:rowOff>0</xdr:rowOff>
                  </from>
                  <to>
                    <xdr:col>5</xdr:col>
                    <xdr:colOff>381000</xdr:colOff>
                    <xdr:row>10</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12</xdr:col>
                    <xdr:colOff>352425</xdr:colOff>
                    <xdr:row>9</xdr:row>
                    <xdr:rowOff>0</xdr:rowOff>
                  </from>
                  <to>
                    <xdr:col>12</xdr:col>
                    <xdr:colOff>657225</xdr:colOff>
                    <xdr:row>10</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13</xdr:col>
                    <xdr:colOff>47625</xdr:colOff>
                    <xdr:row>9</xdr:row>
                    <xdr:rowOff>0</xdr:rowOff>
                  </from>
                  <to>
                    <xdr:col>13</xdr:col>
                    <xdr:colOff>352425</xdr:colOff>
                    <xdr:row>10</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38100</xdr:colOff>
                    <xdr:row>12</xdr:row>
                    <xdr:rowOff>38100</xdr:rowOff>
                  </from>
                  <to>
                    <xdr:col>2</xdr:col>
                    <xdr:colOff>342900</xdr:colOff>
                    <xdr:row>12</xdr:row>
                    <xdr:rowOff>257175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561975</xdr:colOff>
                    <xdr:row>12</xdr:row>
                    <xdr:rowOff>38100</xdr:rowOff>
                  </from>
                  <to>
                    <xdr:col>4</xdr:col>
                    <xdr:colOff>104775</xdr:colOff>
                    <xdr:row>12</xdr:row>
                    <xdr:rowOff>257175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10</xdr:col>
                    <xdr:colOff>38100</xdr:colOff>
                    <xdr:row>12</xdr:row>
                    <xdr:rowOff>38100</xdr:rowOff>
                  </from>
                  <to>
                    <xdr:col>10</xdr:col>
                    <xdr:colOff>342900</xdr:colOff>
                    <xdr:row>12</xdr:row>
                    <xdr:rowOff>257175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11</xdr:col>
                    <xdr:colOff>561975</xdr:colOff>
                    <xdr:row>12</xdr:row>
                    <xdr:rowOff>38100</xdr:rowOff>
                  </from>
                  <to>
                    <xdr:col>12</xdr:col>
                    <xdr:colOff>104775</xdr:colOff>
                    <xdr:row>12</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Q35"/>
  <sheetViews>
    <sheetView workbookViewId="0">
      <selection activeCell="S25" sqref="S25"/>
    </sheetView>
  </sheetViews>
  <sheetFormatPr baseColWidth="10" defaultColWidth="15.7109375" defaultRowHeight="15" outlineLevelCol="1" x14ac:dyDescent="0.25"/>
  <cols>
    <col min="1" max="1" width="15.7109375" style="53"/>
    <col min="2" max="4" width="15.7109375" style="53" hidden="1" customWidth="1" outlineLevel="1"/>
    <col min="5" max="5" width="15.7109375" style="53" collapsed="1"/>
    <col min="6" max="8" width="15.7109375" style="53" hidden="1" customWidth="1" outlineLevel="1"/>
    <col min="9" max="9" width="15.7109375" style="53" collapsed="1"/>
    <col min="10" max="12" width="15.7109375" style="53" hidden="1" customWidth="1" outlineLevel="1"/>
    <col min="13" max="13" width="15.7109375" style="53" collapsed="1"/>
    <col min="14" max="16" width="15.7109375" style="53" hidden="1" customWidth="1" outlineLevel="1"/>
    <col min="17" max="17" width="15.7109375" style="53" collapsed="1"/>
    <col min="18" max="16384" width="15.7109375" style="53"/>
  </cols>
  <sheetData>
    <row r="2" spans="1:17" ht="15.75" x14ac:dyDescent="0.25">
      <c r="A2" s="114" t="s">
        <v>49</v>
      </c>
      <c r="B2" s="114"/>
      <c r="C2" s="114"/>
      <c r="D2" s="114"/>
      <c r="E2" s="114"/>
      <c r="F2" s="114"/>
      <c r="G2" s="114"/>
      <c r="H2" s="114"/>
      <c r="I2" s="114"/>
      <c r="J2" s="114"/>
      <c r="K2" s="114"/>
      <c r="L2" s="114"/>
      <c r="M2" s="114"/>
      <c r="N2" s="114"/>
      <c r="O2" s="114"/>
      <c r="P2" s="114"/>
      <c r="Q2" s="65"/>
    </row>
    <row r="6" spans="1:17" ht="77.25" customHeight="1" x14ac:dyDescent="0.25">
      <c r="A6" s="54" t="s">
        <v>50</v>
      </c>
      <c r="B6" s="115" t="s">
        <v>51</v>
      </c>
      <c r="C6" s="116"/>
      <c r="D6" s="116"/>
      <c r="E6" s="117"/>
      <c r="F6" s="118" t="s">
        <v>52</v>
      </c>
      <c r="G6" s="119"/>
      <c r="H6" s="119"/>
      <c r="I6" s="120"/>
      <c r="J6" s="118" t="s">
        <v>53</v>
      </c>
      <c r="K6" s="119"/>
      <c r="L6" s="119"/>
      <c r="M6" s="120"/>
      <c r="N6" s="121" t="s">
        <v>54</v>
      </c>
      <c r="O6" s="121"/>
      <c r="P6" s="121"/>
      <c r="Q6" s="121"/>
    </row>
    <row r="7" spans="1:17" x14ac:dyDescent="0.25">
      <c r="A7" s="55">
        <v>0.15</v>
      </c>
      <c r="B7" s="56">
        <f t="shared" ref="B7:B19" si="0">$B$25*A7</f>
        <v>241.04999999999998</v>
      </c>
      <c r="C7" s="57">
        <f>0.05/24</f>
        <v>2.0833333333333333E-3</v>
      </c>
      <c r="D7" s="58">
        <v>241.03</v>
      </c>
      <c r="E7" s="67">
        <f t="shared" ref="E7:E24" si="1">ROUNDDOWN(D7,0)</f>
        <v>241</v>
      </c>
      <c r="F7" s="56">
        <f t="shared" ref="F7:F25" si="2">B7*36/41</f>
        <v>211.65365853658534</v>
      </c>
      <c r="G7" s="59">
        <f>0.65/24</f>
        <v>2.7083333333333334E-2</v>
      </c>
      <c r="H7" s="60">
        <v>211.39</v>
      </c>
      <c r="I7" s="68">
        <f t="shared" ref="I7:I24" si="3">ROUNDDOWN(H7,0)</f>
        <v>211</v>
      </c>
      <c r="J7" s="56">
        <f t="shared" ref="J7:J24" si="4">F7/36</f>
        <v>5.8792682926829265</v>
      </c>
      <c r="K7" s="59">
        <f>0.88/24</f>
        <v>3.6666666666666667E-2</v>
      </c>
      <c r="L7" s="60">
        <v>5.52</v>
      </c>
      <c r="M7" s="69">
        <f t="shared" ref="M7:M22" si="5">ROUNDDOWN(L7,1)</f>
        <v>5.5</v>
      </c>
      <c r="N7" s="56">
        <f t="shared" ref="N7:N25" si="6">B7-F7</f>
        <v>29.396341463414643</v>
      </c>
      <c r="O7" s="59">
        <f>0.4/24</f>
        <v>1.6666666666666666E-2</v>
      </c>
      <c r="P7" s="61">
        <v>29.24</v>
      </c>
      <c r="Q7" s="70">
        <f>E7-I7</f>
        <v>30</v>
      </c>
    </row>
    <row r="8" spans="1:17" x14ac:dyDescent="0.25">
      <c r="A8" s="55">
        <v>0.2</v>
      </c>
      <c r="B8" s="56">
        <f t="shared" si="0"/>
        <v>321.40000000000003</v>
      </c>
      <c r="C8" s="57">
        <f>0.4/24</f>
        <v>1.6666666666666666E-2</v>
      </c>
      <c r="D8" s="58">
        <v>321.24</v>
      </c>
      <c r="E8" s="67">
        <f t="shared" si="1"/>
        <v>321</v>
      </c>
      <c r="F8" s="56">
        <f t="shared" si="2"/>
        <v>282.20487804878053</v>
      </c>
      <c r="G8" s="59">
        <f>0.2/24</f>
        <v>8.3333333333333332E-3</v>
      </c>
      <c r="H8" s="60">
        <v>282.2</v>
      </c>
      <c r="I8" s="68">
        <f t="shared" si="3"/>
        <v>282</v>
      </c>
      <c r="J8" s="56">
        <f t="shared" si="4"/>
        <v>7.8390243902439032</v>
      </c>
      <c r="K8" s="59">
        <f>0.84/24</f>
        <v>3.4999999999999996E-2</v>
      </c>
      <c r="L8" s="60">
        <v>7.5</v>
      </c>
      <c r="M8" s="69">
        <f t="shared" si="5"/>
        <v>7.5</v>
      </c>
      <c r="N8" s="56">
        <f t="shared" si="6"/>
        <v>39.195121951219505</v>
      </c>
      <c r="O8" s="59">
        <f>0.2/24</f>
        <v>8.3333333333333332E-3</v>
      </c>
      <c r="P8" s="61">
        <v>39.119999999999997</v>
      </c>
      <c r="Q8" s="70">
        <f t="shared" ref="Q8:Q25" si="7">E8-I8</f>
        <v>39</v>
      </c>
    </row>
    <row r="9" spans="1:17" x14ac:dyDescent="0.25">
      <c r="A9" s="55">
        <v>0.25</v>
      </c>
      <c r="B9" s="56">
        <f t="shared" si="0"/>
        <v>401.75</v>
      </c>
      <c r="C9" s="57">
        <f>0.75/24</f>
        <v>3.125E-2</v>
      </c>
      <c r="D9" s="58">
        <v>401.45</v>
      </c>
      <c r="E9" s="67">
        <f t="shared" si="1"/>
        <v>401</v>
      </c>
      <c r="F9" s="56">
        <f t="shared" si="2"/>
        <v>352.7560975609756</v>
      </c>
      <c r="G9" s="59">
        <f>0.76/24</f>
        <v>3.1666666666666669E-2</v>
      </c>
      <c r="H9" s="60">
        <v>352.45</v>
      </c>
      <c r="I9" s="68">
        <f t="shared" si="3"/>
        <v>352</v>
      </c>
      <c r="J9" s="56">
        <f t="shared" si="4"/>
        <v>9.7987804878048781</v>
      </c>
      <c r="K9" s="59">
        <f>0.8/24</f>
        <v>3.3333333333333333E-2</v>
      </c>
      <c r="L9" s="60">
        <v>9.48</v>
      </c>
      <c r="M9" s="69">
        <v>9.4499999999999993</v>
      </c>
      <c r="N9" s="56">
        <f t="shared" si="6"/>
        <v>48.993902439024396</v>
      </c>
      <c r="O9" s="59">
        <f>0.99/24</f>
        <v>4.1250000000000002E-2</v>
      </c>
      <c r="P9" s="61">
        <v>48.59</v>
      </c>
      <c r="Q9" s="70">
        <f t="shared" si="7"/>
        <v>49</v>
      </c>
    </row>
    <row r="10" spans="1:17" x14ac:dyDescent="0.25">
      <c r="A10" s="55">
        <v>0.3</v>
      </c>
      <c r="B10" s="56">
        <f t="shared" si="0"/>
        <v>482.09999999999997</v>
      </c>
      <c r="C10" s="57">
        <f>0.1/24</f>
        <v>4.1666666666666666E-3</v>
      </c>
      <c r="D10" s="58">
        <v>482.06</v>
      </c>
      <c r="E10" s="67">
        <f t="shared" si="1"/>
        <v>482</v>
      </c>
      <c r="F10" s="56">
        <f t="shared" si="2"/>
        <v>423.30731707317068</v>
      </c>
      <c r="G10" s="59">
        <f>0.31/24</f>
        <v>1.2916666666666667E-2</v>
      </c>
      <c r="H10" s="60">
        <v>423.18</v>
      </c>
      <c r="I10" s="68">
        <v>423</v>
      </c>
      <c r="J10" s="56">
        <f t="shared" si="4"/>
        <v>11.758536585365853</v>
      </c>
      <c r="K10" s="59">
        <f>0.76/24</f>
        <v>3.1666666666666669E-2</v>
      </c>
      <c r="L10" s="60">
        <v>11.45</v>
      </c>
      <c r="M10" s="69">
        <v>11.45</v>
      </c>
      <c r="N10" s="56">
        <f t="shared" si="6"/>
        <v>58.792682926829286</v>
      </c>
      <c r="O10" s="59">
        <f>0.79/24</f>
        <v>3.291666666666667E-2</v>
      </c>
      <c r="P10" s="61">
        <v>58.47</v>
      </c>
      <c r="Q10" s="70">
        <f t="shared" si="7"/>
        <v>59</v>
      </c>
    </row>
    <row r="11" spans="1:17" x14ac:dyDescent="0.25">
      <c r="A11" s="55">
        <v>0.32</v>
      </c>
      <c r="B11" s="56">
        <f t="shared" si="0"/>
        <v>514.24</v>
      </c>
      <c r="C11" s="57">
        <f>0.24/24</f>
        <v>0.01</v>
      </c>
      <c r="D11" s="58">
        <v>514.14</v>
      </c>
      <c r="E11" s="67">
        <f t="shared" si="1"/>
        <v>514</v>
      </c>
      <c r="F11" s="56">
        <f t="shared" si="2"/>
        <v>451.52780487804876</v>
      </c>
      <c r="G11" s="59">
        <f>0.53/24</f>
        <v>2.2083333333333333E-2</v>
      </c>
      <c r="H11" s="60">
        <v>451.31</v>
      </c>
      <c r="I11" s="68">
        <f t="shared" si="3"/>
        <v>451</v>
      </c>
      <c r="J11" s="56">
        <f t="shared" si="4"/>
        <v>12.542439024390243</v>
      </c>
      <c r="K11" s="59">
        <f>0.54/24</f>
        <v>2.2500000000000003E-2</v>
      </c>
      <c r="L11" s="60">
        <v>12.32</v>
      </c>
      <c r="M11" s="69">
        <f t="shared" si="5"/>
        <v>12.3</v>
      </c>
      <c r="N11" s="56">
        <f t="shared" si="6"/>
        <v>62.712195121951254</v>
      </c>
      <c r="O11" s="59">
        <f>0.71/24</f>
        <v>2.9583333333333333E-2</v>
      </c>
      <c r="P11" s="61">
        <v>62.42</v>
      </c>
      <c r="Q11" s="70">
        <f t="shared" si="7"/>
        <v>63</v>
      </c>
    </row>
    <row r="12" spans="1:17" x14ac:dyDescent="0.25">
      <c r="A12" s="55">
        <v>0.35</v>
      </c>
      <c r="B12" s="56">
        <f t="shared" si="0"/>
        <v>562.44999999999993</v>
      </c>
      <c r="C12" s="57">
        <f>0.45/24</f>
        <v>1.8749999999999999E-2</v>
      </c>
      <c r="D12" s="58">
        <v>562.27</v>
      </c>
      <c r="E12" s="67">
        <f t="shared" si="1"/>
        <v>562</v>
      </c>
      <c r="F12" s="56">
        <f t="shared" si="2"/>
        <v>493.85853658536575</v>
      </c>
      <c r="G12" s="59">
        <f>0.86/24</f>
        <v>3.5833333333333335E-2</v>
      </c>
      <c r="H12" s="60">
        <v>493.51</v>
      </c>
      <c r="I12" s="68">
        <f t="shared" si="3"/>
        <v>493</v>
      </c>
      <c r="J12" s="56">
        <f t="shared" si="4"/>
        <v>13.718292682926826</v>
      </c>
      <c r="K12" s="59">
        <f>0.72/24</f>
        <v>0.03</v>
      </c>
      <c r="L12" s="60">
        <v>13.43</v>
      </c>
      <c r="M12" s="69">
        <f t="shared" si="5"/>
        <v>13.4</v>
      </c>
      <c r="N12" s="56">
        <f t="shared" si="6"/>
        <v>68.591463414634177</v>
      </c>
      <c r="O12" s="59">
        <f>0.59/24</f>
        <v>2.4583333333333332E-2</v>
      </c>
      <c r="P12" s="61">
        <v>68.349999999999994</v>
      </c>
      <c r="Q12" s="70">
        <f t="shared" si="7"/>
        <v>69</v>
      </c>
    </row>
    <row r="13" spans="1:17" x14ac:dyDescent="0.25">
      <c r="A13" s="55">
        <v>0.4</v>
      </c>
      <c r="B13" s="56">
        <f t="shared" si="0"/>
        <v>642.80000000000007</v>
      </c>
      <c r="C13" s="57">
        <f>0.8/24</f>
        <v>3.3333333333333333E-2</v>
      </c>
      <c r="D13" s="58">
        <v>642.48</v>
      </c>
      <c r="E13" s="67">
        <f t="shared" si="1"/>
        <v>642</v>
      </c>
      <c r="F13" s="56">
        <f t="shared" si="2"/>
        <v>564.40975609756106</v>
      </c>
      <c r="G13" s="59">
        <f>0.41/24</f>
        <v>1.7083333333333332E-2</v>
      </c>
      <c r="H13" s="60">
        <v>564.24</v>
      </c>
      <c r="I13" s="68">
        <f t="shared" si="3"/>
        <v>564</v>
      </c>
      <c r="J13" s="56">
        <f t="shared" si="4"/>
        <v>15.678048780487806</v>
      </c>
      <c r="K13" s="59">
        <f>0.68/24</f>
        <v>2.8333333333333335E-2</v>
      </c>
      <c r="L13" s="60">
        <v>15.4</v>
      </c>
      <c r="M13" s="69">
        <f t="shared" si="5"/>
        <v>15.4</v>
      </c>
      <c r="N13" s="56">
        <f t="shared" si="6"/>
        <v>78.390243902439011</v>
      </c>
      <c r="O13" s="59">
        <f>0.39/24</f>
        <v>1.6250000000000001E-2</v>
      </c>
      <c r="P13" s="61">
        <v>78.23</v>
      </c>
      <c r="Q13" s="70">
        <f t="shared" si="7"/>
        <v>78</v>
      </c>
    </row>
    <row r="14" spans="1:17" x14ac:dyDescent="0.25">
      <c r="A14" s="55">
        <v>0.45</v>
      </c>
      <c r="B14" s="56">
        <f t="shared" si="0"/>
        <v>723.15</v>
      </c>
      <c r="C14" s="57">
        <f>0.48/24</f>
        <v>0.02</v>
      </c>
      <c r="D14" s="58">
        <v>723.28</v>
      </c>
      <c r="E14" s="67">
        <f t="shared" si="1"/>
        <v>723</v>
      </c>
      <c r="F14" s="56">
        <f t="shared" si="2"/>
        <v>634.96097560975602</v>
      </c>
      <c r="G14" s="59">
        <f>0.96/24</f>
        <v>0.04</v>
      </c>
      <c r="H14" s="60">
        <v>634.57000000000005</v>
      </c>
      <c r="I14" s="68">
        <f t="shared" si="3"/>
        <v>634</v>
      </c>
      <c r="J14" s="56">
        <f t="shared" si="4"/>
        <v>17.637804878048779</v>
      </c>
      <c r="K14" s="59">
        <f>0.64/24</f>
        <v>2.6666666666666668E-2</v>
      </c>
      <c r="L14" s="60">
        <v>17.38</v>
      </c>
      <c r="M14" s="69">
        <v>17.350000000000001</v>
      </c>
      <c r="N14" s="56">
        <f t="shared" si="6"/>
        <v>88.189024390243958</v>
      </c>
      <c r="O14" s="59">
        <f>0.19/24</f>
        <v>7.9166666666666673E-3</v>
      </c>
      <c r="P14" s="61">
        <v>88.11</v>
      </c>
      <c r="Q14" s="70">
        <f t="shared" si="7"/>
        <v>89</v>
      </c>
    </row>
    <row r="15" spans="1:17" x14ac:dyDescent="0.25">
      <c r="A15" s="55">
        <v>0.5</v>
      </c>
      <c r="B15" s="56">
        <f t="shared" si="0"/>
        <v>803.5</v>
      </c>
      <c r="C15" s="57">
        <f>0.5/24</f>
        <v>2.0833333333333332E-2</v>
      </c>
      <c r="D15" s="58">
        <v>803.3</v>
      </c>
      <c r="E15" s="67">
        <f t="shared" si="1"/>
        <v>803</v>
      </c>
      <c r="F15" s="56">
        <f t="shared" si="2"/>
        <v>705.51219512195121</v>
      </c>
      <c r="G15" s="59">
        <f>0.51/24</f>
        <v>2.1250000000000002E-2</v>
      </c>
      <c r="H15" s="60">
        <v>705.3</v>
      </c>
      <c r="I15" s="68">
        <f t="shared" si="3"/>
        <v>705</v>
      </c>
      <c r="J15" s="56">
        <f t="shared" si="4"/>
        <v>19.597560975609756</v>
      </c>
      <c r="K15" s="59">
        <f>0.6/24</f>
        <v>2.4999999999999998E-2</v>
      </c>
      <c r="L15" s="60">
        <v>19.36</v>
      </c>
      <c r="M15" s="69">
        <v>19.350000000000001</v>
      </c>
      <c r="N15" s="56">
        <f t="shared" si="6"/>
        <v>97.987804878048792</v>
      </c>
      <c r="O15" s="59">
        <f>0.99/24</f>
        <v>4.1250000000000002E-2</v>
      </c>
      <c r="P15" s="61">
        <v>97.59</v>
      </c>
      <c r="Q15" s="70">
        <f t="shared" si="7"/>
        <v>98</v>
      </c>
    </row>
    <row r="16" spans="1:17" x14ac:dyDescent="0.25">
      <c r="A16" s="55">
        <v>0.55000000000000004</v>
      </c>
      <c r="B16" s="56">
        <f t="shared" si="0"/>
        <v>883.85</v>
      </c>
      <c r="C16" s="57">
        <f>0.85/24</f>
        <v>3.5416666666666666E-2</v>
      </c>
      <c r="D16" s="58">
        <v>883.51</v>
      </c>
      <c r="E16" s="67">
        <f t="shared" si="1"/>
        <v>883</v>
      </c>
      <c r="F16" s="56">
        <f t="shared" si="2"/>
        <v>776.0634146341464</v>
      </c>
      <c r="G16" s="59">
        <f>0.06/24</f>
        <v>2.5000000000000001E-3</v>
      </c>
      <c r="H16" s="60">
        <v>776.03</v>
      </c>
      <c r="I16" s="68">
        <f t="shared" si="3"/>
        <v>776</v>
      </c>
      <c r="J16" s="56">
        <f t="shared" si="4"/>
        <v>21.557317073170733</v>
      </c>
      <c r="K16" s="59">
        <f>0.56/24</f>
        <v>2.3333333333333334E-2</v>
      </c>
      <c r="L16" s="60">
        <v>21.33</v>
      </c>
      <c r="M16" s="69">
        <f t="shared" si="5"/>
        <v>21.3</v>
      </c>
      <c r="N16" s="56">
        <f t="shared" si="6"/>
        <v>107.78658536585363</v>
      </c>
      <c r="O16" s="59">
        <f>0.79/24</f>
        <v>3.291666666666667E-2</v>
      </c>
      <c r="P16" s="61">
        <v>107.47</v>
      </c>
      <c r="Q16" s="70">
        <f t="shared" si="7"/>
        <v>107</v>
      </c>
    </row>
    <row r="17" spans="1:17" x14ac:dyDescent="0.25">
      <c r="A17" s="55">
        <v>0.6</v>
      </c>
      <c r="B17" s="56">
        <f t="shared" si="0"/>
        <v>964.19999999999993</v>
      </c>
      <c r="C17" s="57">
        <f>0.2/24</f>
        <v>8.3333333333333332E-3</v>
      </c>
      <c r="D17" s="58">
        <v>964.12</v>
      </c>
      <c r="E17" s="67">
        <f t="shared" si="1"/>
        <v>964</v>
      </c>
      <c r="F17" s="56">
        <f t="shared" si="2"/>
        <v>846.61463414634136</v>
      </c>
      <c r="G17" s="59">
        <f>0.61/24</f>
        <v>2.5416666666666667E-2</v>
      </c>
      <c r="H17" s="60">
        <v>846.36</v>
      </c>
      <c r="I17" s="68">
        <f t="shared" si="3"/>
        <v>846</v>
      </c>
      <c r="J17" s="56">
        <f t="shared" si="4"/>
        <v>23.517073170731706</v>
      </c>
      <c r="K17" s="59">
        <f>0.52/24</f>
        <v>2.1666666666666667E-2</v>
      </c>
      <c r="L17" s="60">
        <v>23.31</v>
      </c>
      <c r="M17" s="69">
        <f t="shared" si="5"/>
        <v>23.3</v>
      </c>
      <c r="N17" s="56">
        <f t="shared" si="6"/>
        <v>117.58536585365857</v>
      </c>
      <c r="O17" s="59">
        <f>0.59/24</f>
        <v>2.4583333333333332E-2</v>
      </c>
      <c r="P17" s="61">
        <v>117.35</v>
      </c>
      <c r="Q17" s="70">
        <f t="shared" si="7"/>
        <v>118</v>
      </c>
    </row>
    <row r="18" spans="1:17" x14ac:dyDescent="0.25">
      <c r="A18" s="55">
        <v>0.64</v>
      </c>
      <c r="B18" s="56">
        <f t="shared" si="0"/>
        <v>1028.48</v>
      </c>
      <c r="C18" s="57">
        <f>0.48/24</f>
        <v>0.02</v>
      </c>
      <c r="D18" s="58">
        <v>1028.28</v>
      </c>
      <c r="E18" s="67">
        <f t="shared" si="1"/>
        <v>1028</v>
      </c>
      <c r="F18" s="56">
        <f t="shared" si="2"/>
        <v>903.05560975609751</v>
      </c>
      <c r="G18" s="59">
        <f>0.06/24</f>
        <v>2.5000000000000001E-3</v>
      </c>
      <c r="H18" s="60">
        <v>903.03</v>
      </c>
      <c r="I18" s="68">
        <f t="shared" si="3"/>
        <v>903</v>
      </c>
      <c r="J18" s="56">
        <f t="shared" si="4"/>
        <v>25.084878048780485</v>
      </c>
      <c r="K18" s="59">
        <f>0.08/24</f>
        <v>3.3333333333333335E-3</v>
      </c>
      <c r="L18" s="60">
        <v>25.04</v>
      </c>
      <c r="M18" s="69">
        <f t="shared" si="5"/>
        <v>25</v>
      </c>
      <c r="N18" s="56">
        <f t="shared" si="6"/>
        <v>125.42439024390251</v>
      </c>
      <c r="O18" s="59">
        <f>0.42/24</f>
        <v>1.7499999999999998E-2</v>
      </c>
      <c r="P18" s="61">
        <v>125.25</v>
      </c>
      <c r="Q18" s="70">
        <f t="shared" si="7"/>
        <v>125</v>
      </c>
    </row>
    <row r="19" spans="1:17" x14ac:dyDescent="0.25">
      <c r="A19" s="55">
        <v>0.65</v>
      </c>
      <c r="B19" s="56">
        <f t="shared" si="0"/>
        <v>1044.55</v>
      </c>
      <c r="C19" s="57">
        <f>0.55/24</f>
        <v>2.2916666666666669E-2</v>
      </c>
      <c r="D19" s="58">
        <v>1044.33</v>
      </c>
      <c r="E19" s="67">
        <f t="shared" si="1"/>
        <v>1044</v>
      </c>
      <c r="F19" s="56">
        <f t="shared" si="2"/>
        <v>917.16585365853643</v>
      </c>
      <c r="G19" s="59">
        <f>0.17/24</f>
        <v>7.0833333333333338E-3</v>
      </c>
      <c r="H19" s="60">
        <v>917.1</v>
      </c>
      <c r="I19" s="68">
        <f t="shared" si="3"/>
        <v>917</v>
      </c>
      <c r="J19" s="56">
        <f t="shared" si="4"/>
        <v>25.476829268292679</v>
      </c>
      <c r="K19" s="59">
        <f>0.48/24</f>
        <v>0.02</v>
      </c>
      <c r="L19" s="60">
        <v>25.28</v>
      </c>
      <c r="M19" s="69">
        <v>25.25</v>
      </c>
      <c r="N19" s="56">
        <f t="shared" si="6"/>
        <v>127.38414634146352</v>
      </c>
      <c r="O19" s="59">
        <f>0.38/24</f>
        <v>1.5833333333333335E-2</v>
      </c>
      <c r="P19" s="61">
        <v>127.22</v>
      </c>
      <c r="Q19" s="70">
        <f t="shared" si="7"/>
        <v>127</v>
      </c>
    </row>
    <row r="20" spans="1:17" x14ac:dyDescent="0.25">
      <c r="A20" s="55">
        <v>0.7</v>
      </c>
      <c r="B20" s="56">
        <f>$B$25*A20</f>
        <v>1124.8999999999999</v>
      </c>
      <c r="C20" s="57">
        <f>0.9/24</f>
        <v>3.7499999999999999E-2</v>
      </c>
      <c r="D20" s="58">
        <v>1124.54</v>
      </c>
      <c r="E20" s="67">
        <f t="shared" si="1"/>
        <v>1124</v>
      </c>
      <c r="F20" s="56">
        <f t="shared" si="2"/>
        <v>987.71707317073151</v>
      </c>
      <c r="G20" s="59">
        <f>0.72/24</f>
        <v>0.03</v>
      </c>
      <c r="H20" s="60">
        <v>987.43</v>
      </c>
      <c r="I20" s="68">
        <f t="shared" si="3"/>
        <v>987</v>
      </c>
      <c r="J20" s="56">
        <f t="shared" si="4"/>
        <v>27.436585365853652</v>
      </c>
      <c r="K20" s="59">
        <f>0.44/24</f>
        <v>1.8333333333333333E-2</v>
      </c>
      <c r="L20" s="60">
        <v>27.26</v>
      </c>
      <c r="M20" s="69">
        <v>27.25</v>
      </c>
      <c r="N20" s="56">
        <f t="shared" si="6"/>
        <v>137.18292682926835</v>
      </c>
      <c r="O20" s="59">
        <f>0.18/24</f>
        <v>7.4999999999999997E-3</v>
      </c>
      <c r="P20" s="61">
        <v>137.1</v>
      </c>
      <c r="Q20" s="70">
        <f t="shared" si="7"/>
        <v>137</v>
      </c>
    </row>
    <row r="21" spans="1:17" x14ac:dyDescent="0.25">
      <c r="A21" s="55">
        <v>0.75</v>
      </c>
      <c r="B21" s="56">
        <f>$B$25*A21</f>
        <v>1205.25</v>
      </c>
      <c r="C21" s="57">
        <f>0.25/24</f>
        <v>1.0416666666666666E-2</v>
      </c>
      <c r="D21" s="58">
        <v>1205.1500000000001</v>
      </c>
      <c r="E21" s="67">
        <f t="shared" si="1"/>
        <v>1205</v>
      </c>
      <c r="F21" s="56">
        <f t="shared" si="2"/>
        <v>1058.2682926829268</v>
      </c>
      <c r="G21" s="59">
        <f>0.27/24</f>
        <v>1.1250000000000001E-2</v>
      </c>
      <c r="H21" s="60">
        <v>1058.1600000000001</v>
      </c>
      <c r="I21" s="68">
        <f t="shared" si="3"/>
        <v>1058</v>
      </c>
      <c r="J21" s="56">
        <f t="shared" si="4"/>
        <v>29.396341463414632</v>
      </c>
      <c r="K21" s="59">
        <f>0.4/24</f>
        <v>1.6666666666666666E-2</v>
      </c>
      <c r="L21" s="60">
        <v>29.24</v>
      </c>
      <c r="M21" s="69">
        <f t="shared" si="5"/>
        <v>29.2</v>
      </c>
      <c r="N21" s="56">
        <f t="shared" si="6"/>
        <v>146.98170731707319</v>
      </c>
      <c r="O21" s="59">
        <f>0.98/24</f>
        <v>4.0833333333333333E-2</v>
      </c>
      <c r="P21" s="61">
        <v>147</v>
      </c>
      <c r="Q21" s="70">
        <f t="shared" si="7"/>
        <v>147</v>
      </c>
    </row>
    <row r="22" spans="1:17" x14ac:dyDescent="0.25">
      <c r="A22" s="55">
        <v>0.8</v>
      </c>
      <c r="B22" s="56">
        <f>$B$25*A22</f>
        <v>1285.6000000000001</v>
      </c>
      <c r="C22" s="57">
        <f>0.6/24</f>
        <v>2.4999999999999998E-2</v>
      </c>
      <c r="D22" s="58">
        <v>1285.3599999999999</v>
      </c>
      <c r="E22" s="67">
        <f t="shared" si="1"/>
        <v>1285</v>
      </c>
      <c r="F22" s="56">
        <f t="shared" si="2"/>
        <v>1128.8195121951221</v>
      </c>
      <c r="G22" s="59">
        <f>0.82/24</f>
        <v>3.4166666666666665E-2</v>
      </c>
      <c r="H22" s="60">
        <v>1128.49</v>
      </c>
      <c r="I22" s="68">
        <f t="shared" si="3"/>
        <v>1128</v>
      </c>
      <c r="J22" s="56">
        <f t="shared" si="4"/>
        <v>31.356097560975613</v>
      </c>
      <c r="K22" s="59">
        <f>0.36/24</f>
        <v>1.4999999999999999E-2</v>
      </c>
      <c r="L22" s="60">
        <v>31.21</v>
      </c>
      <c r="M22" s="69">
        <f t="shared" si="5"/>
        <v>31.2</v>
      </c>
      <c r="N22" s="56">
        <f t="shared" si="6"/>
        <v>156.78048780487802</v>
      </c>
      <c r="O22" s="59">
        <f>0.78/24</f>
        <v>3.2500000000000001E-2</v>
      </c>
      <c r="P22" s="61">
        <v>156.78</v>
      </c>
      <c r="Q22" s="70">
        <f t="shared" si="7"/>
        <v>157</v>
      </c>
    </row>
    <row r="23" spans="1:17" x14ac:dyDescent="0.25">
      <c r="A23" s="55">
        <v>0.85</v>
      </c>
      <c r="B23" s="56">
        <f>$B$25*A23</f>
        <v>1365.95</v>
      </c>
      <c r="C23" s="57">
        <f>0.95/24</f>
        <v>3.9583333333333331E-2</v>
      </c>
      <c r="D23" s="58">
        <v>1365.57</v>
      </c>
      <c r="E23" s="67">
        <f t="shared" si="1"/>
        <v>1365</v>
      </c>
      <c r="F23" s="56">
        <f t="shared" si="2"/>
        <v>1199.3707317073172</v>
      </c>
      <c r="G23" s="59">
        <f>0.37/24</f>
        <v>1.5416666666666667E-2</v>
      </c>
      <c r="H23" s="60">
        <v>1199.22</v>
      </c>
      <c r="I23" s="68">
        <f t="shared" si="3"/>
        <v>1199</v>
      </c>
      <c r="J23" s="56">
        <f t="shared" si="4"/>
        <v>33.315853658536589</v>
      </c>
      <c r="K23" s="59">
        <f>0.32/24</f>
        <v>1.3333333333333334E-2</v>
      </c>
      <c r="L23" s="60">
        <v>33.19</v>
      </c>
      <c r="M23" s="69">
        <v>33.15</v>
      </c>
      <c r="N23" s="56">
        <f t="shared" si="6"/>
        <v>166.57926829268285</v>
      </c>
      <c r="O23" s="59">
        <f>0.58/24</f>
        <v>2.4166666666666666E-2</v>
      </c>
      <c r="P23" s="61">
        <v>166.34</v>
      </c>
      <c r="Q23" s="70">
        <f t="shared" si="7"/>
        <v>166</v>
      </c>
    </row>
    <row r="24" spans="1:17" x14ac:dyDescent="0.25">
      <c r="A24" s="55">
        <v>0.9</v>
      </c>
      <c r="B24" s="56">
        <f>$B$25*A24</f>
        <v>1446.3</v>
      </c>
      <c r="C24" s="57">
        <f>0.3/24</f>
        <v>1.2499999999999999E-2</v>
      </c>
      <c r="D24" s="58">
        <v>1446.18</v>
      </c>
      <c r="E24" s="67">
        <f t="shared" si="1"/>
        <v>1446</v>
      </c>
      <c r="F24" s="56">
        <f t="shared" si="2"/>
        <v>1269.921951219512</v>
      </c>
      <c r="G24" s="59">
        <f>0.92/24</f>
        <v>3.8333333333333337E-2</v>
      </c>
      <c r="H24" s="60">
        <v>1269.55</v>
      </c>
      <c r="I24" s="68">
        <f t="shared" si="3"/>
        <v>1269</v>
      </c>
      <c r="J24" s="56">
        <f t="shared" si="4"/>
        <v>35.275609756097559</v>
      </c>
      <c r="K24" s="59">
        <f>0.28/24</f>
        <v>1.1666666666666667E-2</v>
      </c>
      <c r="L24" s="60">
        <v>35.159999999999997</v>
      </c>
      <c r="M24" s="69">
        <v>35.15</v>
      </c>
      <c r="N24" s="56">
        <f t="shared" si="6"/>
        <v>176.37804878048792</v>
      </c>
      <c r="O24" s="59">
        <f>0.38/24</f>
        <v>1.5833333333333335E-2</v>
      </c>
      <c r="P24" s="61">
        <v>176.22</v>
      </c>
      <c r="Q24" s="70">
        <f t="shared" si="7"/>
        <v>177</v>
      </c>
    </row>
    <row r="25" spans="1:17" x14ac:dyDescent="0.25">
      <c r="A25" s="55">
        <v>1</v>
      </c>
      <c r="B25" s="56">
        <v>1607</v>
      </c>
      <c r="C25" s="57">
        <v>0</v>
      </c>
      <c r="D25" s="58">
        <v>1607</v>
      </c>
      <c r="E25" s="67">
        <f>ROUNDDOWN(D25,0)</f>
        <v>1607</v>
      </c>
      <c r="F25" s="56">
        <f t="shared" si="2"/>
        <v>1411.0243902439024</v>
      </c>
      <c r="G25" s="59">
        <f>0.02/24</f>
        <v>8.3333333333333339E-4</v>
      </c>
      <c r="H25" s="60">
        <v>1411.01</v>
      </c>
      <c r="I25" s="68">
        <f>ROUNDDOWN(H25,0)</f>
        <v>1411</v>
      </c>
      <c r="J25" s="56">
        <f>F25/36</f>
        <v>39.195121951219512</v>
      </c>
      <c r="K25" s="59">
        <f>0.2/24</f>
        <v>8.3333333333333332E-3</v>
      </c>
      <c r="L25" s="60">
        <v>39.119999999999997</v>
      </c>
      <c r="M25" s="69">
        <f>ROUNDDOWN(L25,1)</f>
        <v>39.1</v>
      </c>
      <c r="N25" s="56">
        <f t="shared" si="6"/>
        <v>195.97560975609758</v>
      </c>
      <c r="O25" s="59">
        <f>0.98/24</f>
        <v>4.0833333333333333E-2</v>
      </c>
      <c r="P25" s="61">
        <v>196</v>
      </c>
      <c r="Q25" s="70">
        <f t="shared" si="7"/>
        <v>196</v>
      </c>
    </row>
    <row r="34" spans="3:3" x14ac:dyDescent="0.25">
      <c r="C34" s="62"/>
    </row>
    <row r="35" spans="3:3" x14ac:dyDescent="0.25">
      <c r="C35" s="62"/>
    </row>
  </sheetData>
  <mergeCells count="5">
    <mergeCell ref="A2:P2"/>
    <mergeCell ref="B6:E6"/>
    <mergeCell ref="F6:I6"/>
    <mergeCell ref="J6:M6"/>
    <mergeCell ref="N6:Q6"/>
  </mergeCells>
  <pageMargins left="0.70866141732283472" right="0.70866141732283472" top="0.74803149606299213" bottom="0.74803149606299213" header="0.31496062992125984" footer="0.31496062992125984"/>
  <pageSetup paperSize="9" scale="64" orientation="landscape" r:id="rId1"/>
  <headerFooter>
    <oddHeader>&amp;L&amp;"-,Gras italique"&amp;8Rectorat de Bordeaux
DEPP1 - Bureau coordination paye&amp;R&amp;D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AESH</vt:lpstr>
      <vt:lpstr>emploi du temps élèves</vt:lpstr>
      <vt:lpstr>tableau des quotités</vt:lpstr>
      <vt:lpstr>'emploi du temps élèves'!Zone_d_impression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Celine VIGNEAUD</dc:creator>
  <cp:lastModifiedBy>Gabriel KIRCHNER</cp:lastModifiedBy>
  <cp:lastPrinted>2020-06-10T07:12:46Z</cp:lastPrinted>
  <dcterms:created xsi:type="dcterms:W3CDTF">2020-03-30T09:25:30Z</dcterms:created>
  <dcterms:modified xsi:type="dcterms:W3CDTF">2024-12-13T09:13:56Z</dcterms:modified>
</cp:coreProperties>
</file>